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A\"/>
    </mc:Choice>
  </mc:AlternateContent>
  <bookViews>
    <workbookView xWindow="0" yWindow="0" windowWidth="20490" windowHeight="7755" tabRatio="641" activeTab="3"/>
  </bookViews>
  <sheets>
    <sheet name="Data Entry sheet Sikkim" sheetId="4" r:id="rId1"/>
    <sheet name="Formats" sheetId="6" r:id="rId2"/>
    <sheet name="Report Format-1" sheetId="7" r:id="rId3"/>
    <sheet name="Sheet2" sheetId="9" r:id="rId4"/>
    <sheet name="Sheet1" sheetId="8" r:id="rId5"/>
    <sheet name="Data Entry sheet-another sample" sheetId="2" r:id="rId6"/>
  </sheets>
  <definedNames>
    <definedName name="_xlnm.Print_Area" localSheetId="0">'Data Entry sheet Sikkim'!$A$1:$L$126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3" i="7" l="1"/>
  <c r="AB73" i="7" s="1"/>
  <c r="AB69" i="7"/>
  <c r="AB68" i="7"/>
  <c r="AB67" i="7"/>
  <c r="AB66" i="7"/>
  <c r="AB65" i="7"/>
  <c r="E63" i="7"/>
  <c r="C63" i="7"/>
  <c r="A63" i="7"/>
  <c r="X60" i="7"/>
  <c r="P60" i="7"/>
  <c r="AA59" i="7"/>
  <c r="AA60" i="7" s="1"/>
  <c r="Z59" i="7"/>
  <c r="Z60" i="7" s="1"/>
  <c r="Y59" i="7"/>
  <c r="Y60" i="7" s="1"/>
  <c r="X59" i="7"/>
  <c r="W59" i="7"/>
  <c r="W60" i="7" s="1"/>
  <c r="V59" i="7"/>
  <c r="V60" i="7" s="1"/>
  <c r="U59" i="7"/>
  <c r="U60" i="7" s="1"/>
  <c r="T59" i="7"/>
  <c r="T60" i="7" s="1"/>
  <c r="S59" i="7"/>
  <c r="S60" i="7" s="1"/>
  <c r="R59" i="7"/>
  <c r="R60" i="7" s="1"/>
  <c r="Q59" i="7"/>
  <c r="Q60" i="7" s="1"/>
  <c r="P59" i="7"/>
  <c r="O59" i="7"/>
  <c r="O60" i="7" s="1"/>
  <c r="N59" i="7"/>
  <c r="N60" i="7" s="1"/>
  <c r="R56" i="7"/>
  <c r="V55" i="7"/>
  <c r="V56" i="7" s="1"/>
  <c r="V61" i="7" s="1"/>
  <c r="V71" i="7" s="1"/>
  <c r="N55" i="7"/>
  <c r="N56" i="7" s="1"/>
  <c r="AA54" i="7"/>
  <c r="AA55" i="7" s="1"/>
  <c r="AA56" i="7" s="1"/>
  <c r="AA61" i="7" s="1"/>
  <c r="AA71" i="7" s="1"/>
  <c r="Z54" i="7"/>
  <c r="Z55" i="7" s="1"/>
  <c r="Z56" i="7" s="1"/>
  <c r="Z61" i="7" s="1"/>
  <c r="Z71" i="7" s="1"/>
  <c r="Y54" i="7"/>
  <c r="Y55" i="7" s="1"/>
  <c r="Y56" i="7" s="1"/>
  <c r="X54" i="7"/>
  <c r="X55" i="7" s="1"/>
  <c r="X56" i="7" s="1"/>
  <c r="X61" i="7" s="1"/>
  <c r="X71" i="7" s="1"/>
  <c r="W54" i="7"/>
  <c r="W55" i="7" s="1"/>
  <c r="W56" i="7" s="1"/>
  <c r="W61" i="7" s="1"/>
  <c r="V54" i="7"/>
  <c r="U54" i="7"/>
  <c r="U55" i="7" s="1"/>
  <c r="U56" i="7" s="1"/>
  <c r="T54" i="7"/>
  <c r="T55" i="7" s="1"/>
  <c r="S54" i="7"/>
  <c r="S55" i="7" s="1"/>
  <c r="S56" i="7" s="1"/>
  <c r="S61" i="7" s="1"/>
  <c r="R54" i="7"/>
  <c r="Q54" i="7"/>
  <c r="Q55" i="7" s="1"/>
  <c r="P54" i="7"/>
  <c r="P55" i="7" s="1"/>
  <c r="O54" i="7"/>
  <c r="N54" i="7"/>
  <c r="P64" i="7" l="1"/>
  <c r="P56" i="7"/>
  <c r="P61" i="7" s="1"/>
  <c r="P71" i="7" s="1"/>
  <c r="AB54" i="7"/>
  <c r="R61" i="7"/>
  <c r="T64" i="7"/>
  <c r="T56" i="7"/>
  <c r="T61" i="7" s="1"/>
  <c r="T71" i="7" s="1"/>
  <c r="N61" i="7"/>
  <c r="AB60" i="7"/>
  <c r="Q56" i="7"/>
  <c r="Q61" i="7" s="1"/>
  <c r="Q64" i="7"/>
  <c r="U61" i="7"/>
  <c r="U71" i="7" s="1"/>
  <c r="Y61" i="7"/>
  <c r="Y71" i="7" s="1"/>
  <c r="W64" i="7"/>
  <c r="W71" i="7" s="1"/>
  <c r="O55" i="7"/>
  <c r="AB55" i="7"/>
  <c r="N64" i="7"/>
  <c r="S64" i="7"/>
  <c r="S71" i="7" s="1"/>
  <c r="AB59" i="7"/>
  <c r="N71" i="7" l="1"/>
  <c r="Q71" i="7"/>
  <c r="O56" i="7"/>
  <c r="O64" i="7"/>
  <c r="O61" i="7" l="1"/>
  <c r="O71" i="7" s="1"/>
  <c r="AB56" i="7"/>
  <c r="AB61" i="7" s="1"/>
  <c r="AC73" i="7" s="1"/>
  <c r="R64" i="7"/>
  <c r="R71" i="7" s="1"/>
  <c r="AB71" i="7" l="1"/>
  <c r="AB64" i="7"/>
  <c r="K6" i="9" l="1"/>
  <c r="M6" i="9" s="1"/>
  <c r="K7" i="9"/>
  <c r="N7" i="9" s="1"/>
  <c r="K8" i="9"/>
  <c r="K9" i="9"/>
  <c r="K10" i="9"/>
  <c r="K11" i="9"/>
  <c r="K5" i="9"/>
  <c r="E23" i="9"/>
  <c r="F6" i="9"/>
  <c r="F7" i="9"/>
  <c r="F8" i="9"/>
  <c r="F9" i="9"/>
  <c r="F10" i="9"/>
  <c r="F11" i="9"/>
  <c r="F5" i="9"/>
  <c r="F12" i="9" s="1"/>
  <c r="C26" i="7"/>
  <c r="E26" i="7"/>
  <c r="K17" i="6"/>
  <c r="K18" i="6"/>
  <c r="F14" i="9" l="1"/>
  <c r="F18" i="9" s="1"/>
  <c r="F13" i="9"/>
  <c r="F19" i="9" l="1"/>
  <c r="F23" i="9" s="1"/>
  <c r="F20" i="9"/>
  <c r="F21" i="9"/>
  <c r="F22" i="9"/>
  <c r="J18" i="8" l="1"/>
  <c r="L20" i="8"/>
  <c r="J11" i="8"/>
  <c r="J20" i="8" s="1"/>
  <c r="E15" i="8"/>
  <c r="Q52" i="6"/>
  <c r="Q65" i="6"/>
  <c r="Q58" i="6"/>
  <c r="Q51" i="6"/>
  <c r="AA121" i="7"/>
  <c r="X121" i="7"/>
  <c r="W121" i="7"/>
  <c r="U121" i="7"/>
  <c r="T121" i="7"/>
  <c r="R121" i="7"/>
  <c r="Q121" i="7"/>
  <c r="O121" i="7"/>
  <c r="K120" i="7"/>
  <c r="V120" i="7" s="1"/>
  <c r="V12" i="7" s="1"/>
  <c r="AB119" i="7"/>
  <c r="AB114" i="7"/>
  <c r="AB112" i="7"/>
  <c r="J111" i="7"/>
  <c r="AA109" i="7"/>
  <c r="X109" i="7"/>
  <c r="W109" i="7"/>
  <c r="V109" i="7"/>
  <c r="S109" i="7"/>
  <c r="O109" i="7"/>
  <c r="K108" i="7"/>
  <c r="U108" i="7" s="1"/>
  <c r="AB100" i="7"/>
  <c r="J99" i="7"/>
  <c r="AA97" i="7"/>
  <c r="W97" i="7"/>
  <c r="V97" i="7"/>
  <c r="U97" i="7"/>
  <c r="T97" i="7"/>
  <c r="S97" i="7"/>
  <c r="R97" i="7"/>
  <c r="Q97" i="7"/>
  <c r="P97" i="7"/>
  <c r="AB96" i="7"/>
  <c r="AC96" i="7"/>
  <c r="AB95" i="7"/>
  <c r="AB94" i="7"/>
  <c r="AB88" i="7"/>
  <c r="J87" i="7"/>
  <c r="X85" i="7"/>
  <c r="V85" i="7"/>
  <c r="U85" i="7"/>
  <c r="T85" i="7"/>
  <c r="S85" i="7"/>
  <c r="R85" i="7"/>
  <c r="Q85" i="7"/>
  <c r="O85" i="7"/>
  <c r="AB84" i="7"/>
  <c r="AB83" i="7"/>
  <c r="L50" i="7"/>
  <c r="L82" i="7" s="1"/>
  <c r="AB76" i="7"/>
  <c r="J75" i="7"/>
  <c r="AA53" i="7"/>
  <c r="X53" i="7"/>
  <c r="W53" i="7"/>
  <c r="V53" i="7"/>
  <c r="U53" i="7"/>
  <c r="T53" i="7"/>
  <c r="S53" i="7"/>
  <c r="R53" i="7"/>
  <c r="Q53" i="7"/>
  <c r="P53" i="7"/>
  <c r="AB52" i="7"/>
  <c r="L52" i="7"/>
  <c r="L120" i="7"/>
  <c r="L51" i="7"/>
  <c r="L107" i="7" s="1"/>
  <c r="L49" i="7"/>
  <c r="L81" i="7" s="1"/>
  <c r="L48" i="7"/>
  <c r="L92" i="7" s="1"/>
  <c r="L47" i="7"/>
  <c r="L79" i="7" s="1"/>
  <c r="L46" i="7"/>
  <c r="L90" i="7" s="1"/>
  <c r="L45" i="7"/>
  <c r="L77" i="7"/>
  <c r="AB44" i="7"/>
  <c r="L44" i="7"/>
  <c r="L88" i="7" s="1"/>
  <c r="J43" i="7"/>
  <c r="R36" i="7"/>
  <c r="AB36" i="7"/>
  <c r="AB32" i="7"/>
  <c r="AB31" i="7"/>
  <c r="AB30" i="7"/>
  <c r="AB29" i="7"/>
  <c r="AB28" i="7"/>
  <c r="A26" i="7"/>
  <c r="J15" i="7"/>
  <c r="AB14" i="7"/>
  <c r="AC14" i="7" s="1"/>
  <c r="AB13" i="7"/>
  <c r="AC13" i="7" s="1"/>
  <c r="AA12" i="7"/>
  <c r="Z12" i="7"/>
  <c r="Y12" i="7"/>
  <c r="X12" i="7"/>
  <c r="W12" i="7"/>
  <c r="T12" i="7"/>
  <c r="S12" i="7"/>
  <c r="R12" i="7"/>
  <c r="Q12" i="7"/>
  <c r="P12" i="7"/>
  <c r="O12" i="7"/>
  <c r="N12" i="7"/>
  <c r="M12" i="7"/>
  <c r="M52" i="7" s="1"/>
  <c r="K12" i="7"/>
  <c r="F12" i="7"/>
  <c r="F15" i="7" s="1"/>
  <c r="AA11" i="7"/>
  <c r="Z11" i="7"/>
  <c r="Y11" i="7"/>
  <c r="X11" i="7"/>
  <c r="W11" i="7"/>
  <c r="V11" i="7"/>
  <c r="U11" i="7"/>
  <c r="S11" i="7"/>
  <c r="R11" i="7"/>
  <c r="Q11" i="7"/>
  <c r="P11" i="7"/>
  <c r="N11" i="7"/>
  <c r="M11" i="7"/>
  <c r="M51" i="7" s="1"/>
  <c r="AA10" i="7"/>
  <c r="Z10" i="7"/>
  <c r="Y10" i="7"/>
  <c r="X10" i="7"/>
  <c r="V10" i="7"/>
  <c r="U10" i="7"/>
  <c r="T10" i="7"/>
  <c r="P10" i="7"/>
  <c r="N10" i="7"/>
  <c r="M10" i="7"/>
  <c r="M50" i="7" s="1"/>
  <c r="AA9" i="7"/>
  <c r="Z9" i="7"/>
  <c r="Y9" i="7"/>
  <c r="W9" i="7"/>
  <c r="V9" i="7"/>
  <c r="U9" i="7"/>
  <c r="T9" i="7"/>
  <c r="S9" i="7"/>
  <c r="R9" i="7"/>
  <c r="N9" i="7"/>
  <c r="M9" i="7"/>
  <c r="M49" i="7" s="1"/>
  <c r="AA8" i="7"/>
  <c r="Z8" i="7"/>
  <c r="X8" i="7"/>
  <c r="W8" i="7"/>
  <c r="V8" i="7"/>
  <c r="U8" i="7"/>
  <c r="T8" i="7"/>
  <c r="S8" i="7"/>
  <c r="R8" i="7"/>
  <c r="Q8" i="7"/>
  <c r="N8" i="7"/>
  <c r="M8" i="7"/>
  <c r="M48" i="7" s="1"/>
  <c r="AA7" i="7"/>
  <c r="Z7" i="7"/>
  <c r="X7" i="7"/>
  <c r="W7" i="7"/>
  <c r="V7" i="7"/>
  <c r="U7" i="7"/>
  <c r="T7" i="7"/>
  <c r="S7" i="7"/>
  <c r="R7" i="7"/>
  <c r="Q7" i="7"/>
  <c r="N7" i="7"/>
  <c r="M7" i="7"/>
  <c r="M47" i="7" s="1"/>
  <c r="X6" i="7"/>
  <c r="W6" i="7"/>
  <c r="V6" i="7"/>
  <c r="U6" i="7"/>
  <c r="T6" i="7"/>
  <c r="S6" i="7"/>
  <c r="R6" i="7"/>
  <c r="Q6" i="7"/>
  <c r="P6" i="7"/>
  <c r="N6" i="7"/>
  <c r="M6" i="7"/>
  <c r="M46" i="7" s="1"/>
  <c r="AA5" i="7"/>
  <c r="Z5" i="7"/>
  <c r="Y5" i="7"/>
  <c r="X5" i="7"/>
  <c r="W5" i="7"/>
  <c r="V5" i="7"/>
  <c r="U5" i="7"/>
  <c r="T5" i="7"/>
  <c r="S5" i="7"/>
  <c r="R5" i="7"/>
  <c r="Q5" i="7"/>
  <c r="P5" i="7"/>
  <c r="O5" i="7"/>
  <c r="M5" i="7"/>
  <c r="M45" i="7" s="1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M44" i="7" s="1"/>
  <c r="AA3" i="7"/>
  <c r="Z3" i="7"/>
  <c r="Y3" i="7"/>
  <c r="X3" i="7"/>
  <c r="W3" i="7"/>
  <c r="V3" i="7"/>
  <c r="U3" i="7"/>
  <c r="T3" i="7"/>
  <c r="S3" i="7"/>
  <c r="Q3" i="7"/>
  <c r="P3" i="7"/>
  <c r="N3" i="7"/>
  <c r="L76" i="7"/>
  <c r="AC52" i="7"/>
  <c r="L105" i="7"/>
  <c r="L93" i="7"/>
  <c r="L119" i="7"/>
  <c r="L113" i="7"/>
  <c r="L101" i="7"/>
  <c r="L89" i="7"/>
  <c r="L102" i="7"/>
  <c r="L95" i="7"/>
  <c r="L116" i="7"/>
  <c r="L106" i="7"/>
  <c r="R106" i="7" s="1"/>
  <c r="L94" i="7"/>
  <c r="L108" i="7"/>
  <c r="L84" i="7"/>
  <c r="L96" i="7"/>
  <c r="Q10" i="7"/>
  <c r="O15" i="7"/>
  <c r="O22" i="7" s="1"/>
  <c r="O23" i="7" s="1"/>
  <c r="K25" i="6"/>
  <c r="K24" i="6"/>
  <c r="K23" i="6"/>
  <c r="K22" i="6"/>
  <c r="D18" i="6"/>
  <c r="K11" i="6" s="1"/>
  <c r="T15" i="6"/>
  <c r="T14" i="6"/>
  <c r="T19" i="6" s="1"/>
  <c r="T13" i="6"/>
  <c r="T12" i="6"/>
  <c r="T11" i="6"/>
  <c r="T10" i="6"/>
  <c r="T9" i="6"/>
  <c r="T8" i="6"/>
  <c r="K6" i="6"/>
  <c r="F24" i="4"/>
  <c r="F30" i="4" s="1"/>
  <c r="G24" i="4"/>
  <c r="G30" i="4" s="1"/>
  <c r="H24" i="4"/>
  <c r="H30" i="4" s="1"/>
  <c r="I24" i="4"/>
  <c r="K12" i="6"/>
  <c r="N12" i="6" s="1"/>
  <c r="I38" i="4"/>
  <c r="H38" i="4"/>
  <c r="F38" i="4"/>
  <c r="I33" i="4"/>
  <c r="H33" i="4"/>
  <c r="F33" i="4"/>
  <c r="F29" i="4"/>
  <c r="G29" i="4"/>
  <c r="H29" i="4"/>
  <c r="I29" i="4"/>
  <c r="F36" i="4"/>
  <c r="G36" i="4"/>
  <c r="H36" i="4"/>
  <c r="I36" i="4"/>
  <c r="F37" i="4"/>
  <c r="G37" i="4"/>
  <c r="H37" i="4"/>
  <c r="I37" i="4"/>
  <c r="F21" i="4"/>
  <c r="G21" i="4"/>
  <c r="H21" i="4"/>
  <c r="I21" i="4"/>
  <c r="E7" i="4"/>
  <c r="L425" i="4"/>
  <c r="I425" i="4"/>
  <c r="E425" i="4"/>
  <c r="I424" i="4"/>
  <c r="E424" i="4"/>
  <c r="L401" i="4"/>
  <c r="I401" i="4"/>
  <c r="E401" i="4"/>
  <c r="I400" i="4"/>
  <c r="E400" i="4"/>
  <c r="I390" i="4"/>
  <c r="L377" i="4"/>
  <c r="I377" i="4"/>
  <c r="E377" i="4"/>
  <c r="I376" i="4"/>
  <c r="E376" i="4"/>
  <c r="I362" i="4"/>
  <c r="I361" i="4"/>
  <c r="L348" i="4"/>
  <c r="I348" i="4"/>
  <c r="E348" i="4"/>
  <c r="I347" i="4"/>
  <c r="E347" i="4"/>
  <c r="L324" i="4"/>
  <c r="I324" i="4"/>
  <c r="E324" i="4"/>
  <c r="I323" i="4"/>
  <c r="E323" i="4"/>
  <c r="L300" i="4"/>
  <c r="I300" i="4"/>
  <c r="E300" i="4"/>
  <c r="I299" i="4"/>
  <c r="E299" i="4"/>
  <c r="L276" i="4"/>
  <c r="I276" i="4"/>
  <c r="E276" i="4"/>
  <c r="I275" i="4"/>
  <c r="E275" i="4"/>
  <c r="L252" i="4"/>
  <c r="I252" i="4"/>
  <c r="E252" i="4"/>
  <c r="I251" i="4"/>
  <c r="E251" i="4"/>
  <c r="L228" i="4"/>
  <c r="I228" i="4"/>
  <c r="E228" i="4"/>
  <c r="I227" i="4"/>
  <c r="E227" i="4"/>
  <c r="L204" i="4"/>
  <c r="I204" i="4"/>
  <c r="E204" i="4"/>
  <c r="I203" i="4"/>
  <c r="E203" i="4"/>
  <c r="L180" i="4"/>
  <c r="I180" i="4"/>
  <c r="E180" i="4"/>
  <c r="I179" i="4"/>
  <c r="E179" i="4"/>
  <c r="L156" i="4"/>
  <c r="I156" i="4"/>
  <c r="E156" i="4"/>
  <c r="I155" i="4"/>
  <c r="E155" i="4"/>
  <c r="I147" i="4"/>
  <c r="I133" i="4"/>
  <c r="L132" i="4"/>
  <c r="I132" i="4"/>
  <c r="E132" i="4"/>
  <c r="I131" i="4"/>
  <c r="E131" i="4"/>
  <c r="I118" i="4"/>
  <c r="L115" i="4"/>
  <c r="I115" i="4"/>
  <c r="E115" i="4"/>
  <c r="I114" i="4"/>
  <c r="E114" i="4"/>
  <c r="I91" i="4"/>
  <c r="E91" i="4"/>
  <c r="L88" i="4"/>
  <c r="I88" i="4"/>
  <c r="E88" i="4"/>
  <c r="I87" i="4"/>
  <c r="E87" i="4"/>
  <c r="E37" i="4"/>
  <c r="E36" i="4"/>
  <c r="J30" i="4"/>
  <c r="E29" i="4"/>
  <c r="C29" i="4"/>
  <c r="I30" i="4"/>
  <c r="E24" i="4"/>
  <c r="E30" i="4"/>
  <c r="E21" i="4"/>
  <c r="I20" i="4"/>
  <c r="H8" i="4" s="1"/>
  <c r="H31" i="4" s="1"/>
  <c r="M12" i="6"/>
  <c r="F8" i="4"/>
  <c r="F31" i="4" s="1"/>
  <c r="G8" i="4"/>
  <c r="G31" i="4" s="1"/>
  <c r="E27" i="2"/>
  <c r="F39" i="2"/>
  <c r="E39" i="2"/>
  <c r="F135" i="2"/>
  <c r="E134" i="2"/>
  <c r="F90" i="2"/>
  <c r="F117" i="2"/>
  <c r="E117" i="2"/>
  <c r="E90" i="2"/>
  <c r="I427" i="2"/>
  <c r="F427" i="2"/>
  <c r="E427" i="2"/>
  <c r="F426" i="2"/>
  <c r="E426" i="2"/>
  <c r="I403" i="2"/>
  <c r="F403" i="2"/>
  <c r="E403" i="2"/>
  <c r="F402" i="2"/>
  <c r="E402" i="2"/>
  <c r="I379" i="2"/>
  <c r="F379" i="2"/>
  <c r="E379" i="2"/>
  <c r="F378" i="2"/>
  <c r="E378" i="2"/>
  <c r="I350" i="2"/>
  <c r="F350" i="2"/>
  <c r="E350" i="2"/>
  <c r="F349" i="2"/>
  <c r="E349" i="2"/>
  <c r="I326" i="2"/>
  <c r="F326" i="2"/>
  <c r="E326" i="2"/>
  <c r="F325" i="2"/>
  <c r="E325" i="2"/>
  <c r="I302" i="2"/>
  <c r="F302" i="2"/>
  <c r="E302" i="2"/>
  <c r="F301" i="2"/>
  <c r="E301" i="2"/>
  <c r="I278" i="2"/>
  <c r="F278" i="2"/>
  <c r="E278" i="2"/>
  <c r="F277" i="2"/>
  <c r="E277" i="2"/>
  <c r="I254" i="2"/>
  <c r="F254" i="2"/>
  <c r="E254" i="2"/>
  <c r="F253" i="2"/>
  <c r="E253" i="2"/>
  <c r="I230" i="2"/>
  <c r="F230" i="2"/>
  <c r="E230" i="2"/>
  <c r="F229" i="2"/>
  <c r="E229" i="2"/>
  <c r="I206" i="2"/>
  <c r="F206" i="2"/>
  <c r="E206" i="2"/>
  <c r="F205" i="2"/>
  <c r="E205" i="2"/>
  <c r="I182" i="2"/>
  <c r="F182" i="2"/>
  <c r="E182" i="2"/>
  <c r="F181" i="2"/>
  <c r="E181" i="2"/>
  <c r="I158" i="2"/>
  <c r="F158" i="2"/>
  <c r="E158" i="2"/>
  <c r="F157" i="2"/>
  <c r="E157" i="2"/>
  <c r="I134" i="2"/>
  <c r="F134" i="2"/>
  <c r="F133" i="2"/>
  <c r="E133" i="2"/>
  <c r="F149" i="2"/>
  <c r="I117" i="2"/>
  <c r="F116" i="2"/>
  <c r="E116" i="2"/>
  <c r="I90" i="2"/>
  <c r="F89" i="2"/>
  <c r="E89" i="2"/>
  <c r="F27" i="2"/>
  <c r="F32" i="2" s="1"/>
  <c r="I27" i="2"/>
  <c r="I39" i="2"/>
  <c r="E32" i="2"/>
  <c r="G32" i="2"/>
  <c r="F38" i="2"/>
  <c r="E38" i="2"/>
  <c r="H24" i="2"/>
  <c r="G31" i="2"/>
  <c r="F31" i="2"/>
  <c r="E31" i="2"/>
  <c r="C31" i="2"/>
  <c r="F24" i="2"/>
  <c r="E24" i="2"/>
  <c r="E23" i="2"/>
  <c r="E7" i="2"/>
  <c r="E8" i="2"/>
  <c r="E33" i="2" s="1"/>
  <c r="F8" i="2"/>
  <c r="F33" i="2" s="1"/>
  <c r="F120" i="2"/>
  <c r="F93" i="2"/>
  <c r="E93" i="2"/>
  <c r="F364" i="2"/>
  <c r="F363" i="2"/>
  <c r="F392" i="2"/>
  <c r="H39" i="4" l="1"/>
  <c r="H40" i="4" s="1"/>
  <c r="H34" i="4"/>
  <c r="F179" i="2"/>
  <c r="F347" i="2"/>
  <c r="F136" i="2"/>
  <c r="F137" i="2" s="1"/>
  <c r="F362" i="2"/>
  <c r="F155" i="2"/>
  <c r="F323" i="2"/>
  <c r="F232" i="2"/>
  <c r="F233" i="2" s="1"/>
  <c r="F304" i="2"/>
  <c r="F305" i="2" s="1"/>
  <c r="F280" i="2"/>
  <c r="F281" i="2" s="1"/>
  <c r="I29" i="2"/>
  <c r="F338" i="2"/>
  <c r="F391" i="2"/>
  <c r="F146" i="2"/>
  <c r="F251" i="2"/>
  <c r="F328" i="2"/>
  <c r="F329" i="2" s="1"/>
  <c r="F114" i="2"/>
  <c r="F227" i="2"/>
  <c r="F41" i="2"/>
  <c r="F42" i="2" s="1"/>
  <c r="F256" i="2"/>
  <c r="F257" i="2" s="1"/>
  <c r="F352" i="2"/>
  <c r="F353" i="2" s="1"/>
  <c r="F400" i="2"/>
  <c r="F87" i="2"/>
  <c r="F203" i="2"/>
  <c r="F184" i="2"/>
  <c r="F185" i="2" s="1"/>
  <c r="F36" i="2"/>
  <c r="F376" i="2"/>
  <c r="F299" i="2"/>
  <c r="F131" i="2"/>
  <c r="F429" i="2"/>
  <c r="F430" i="2" s="1"/>
  <c r="F381" i="2"/>
  <c r="F382" i="2" s="1"/>
  <c r="F218" i="2"/>
  <c r="F242" i="2"/>
  <c r="F194" i="2"/>
  <c r="F405" i="2"/>
  <c r="F406" i="2" s="1"/>
  <c r="F208" i="2"/>
  <c r="F209" i="2" s="1"/>
  <c r="F415" i="2"/>
  <c r="F424" i="2"/>
  <c r="F266" i="2"/>
  <c r="F170" i="2"/>
  <c r="F275" i="2"/>
  <c r="F160" i="2"/>
  <c r="F161" i="2" s="1"/>
  <c r="F314" i="2"/>
  <c r="F439" i="2"/>
  <c r="F440" i="2" s="1"/>
  <c r="F290" i="2"/>
  <c r="G39" i="4"/>
  <c r="G40" i="4" s="1"/>
  <c r="G34" i="4"/>
  <c r="F34" i="4"/>
  <c r="F39" i="4"/>
  <c r="F40" i="4" s="1"/>
  <c r="AB108" i="7"/>
  <c r="AC108" i="7" s="1"/>
  <c r="U109" i="7"/>
  <c r="U12" i="7"/>
  <c r="AB12" i="7" s="1"/>
  <c r="AC12" i="7" s="1"/>
  <c r="E376" i="2"/>
  <c r="E146" i="2"/>
  <c r="E242" i="2"/>
  <c r="E232" i="2"/>
  <c r="E233" i="2" s="1"/>
  <c r="E362" i="2"/>
  <c r="E114" i="2"/>
  <c r="E391" i="2"/>
  <c r="E280" i="2"/>
  <c r="E281" i="2" s="1"/>
  <c r="E160" i="2"/>
  <c r="E161" i="2" s="1"/>
  <c r="E218" i="2"/>
  <c r="E179" i="2"/>
  <c r="E347" i="2"/>
  <c r="E314" i="2"/>
  <c r="E41" i="2"/>
  <c r="E42" i="2" s="1"/>
  <c r="E136" i="2"/>
  <c r="E137" i="2" s="1"/>
  <c r="E155" i="2"/>
  <c r="E251" i="2"/>
  <c r="E266" i="2"/>
  <c r="E290" i="2"/>
  <c r="E415" i="2"/>
  <c r="E194" i="2"/>
  <c r="E323" i="2"/>
  <c r="E170" i="2"/>
  <c r="E429" i="2"/>
  <c r="E430" i="2" s="1"/>
  <c r="E87" i="2"/>
  <c r="E352" i="2"/>
  <c r="E353" i="2" s="1"/>
  <c r="E36" i="2"/>
  <c r="E227" i="2"/>
  <c r="E328" i="2"/>
  <c r="E329" i="2" s="1"/>
  <c r="E405" i="2"/>
  <c r="E406" i="2" s="1"/>
  <c r="E184" i="2"/>
  <c r="E185" i="2" s="1"/>
  <c r="E381" i="2"/>
  <c r="E382" i="2" s="1"/>
  <c r="E439" i="2"/>
  <c r="E424" i="2"/>
  <c r="E203" i="2"/>
  <c r="E400" i="2"/>
  <c r="E299" i="2"/>
  <c r="E256" i="2"/>
  <c r="E257" i="2" s="1"/>
  <c r="E304" i="2"/>
  <c r="E305" i="2" s="1"/>
  <c r="E208" i="2"/>
  <c r="E209" i="2" s="1"/>
  <c r="E275" i="2"/>
  <c r="E131" i="2"/>
  <c r="E338" i="2"/>
  <c r="D62" i="7"/>
  <c r="F62" i="7" s="1"/>
  <c r="D61" i="7"/>
  <c r="F61" i="7" s="1"/>
  <c r="D60" i="7"/>
  <c r="F60" i="7" s="1"/>
  <c r="D59" i="7"/>
  <c r="D58" i="7"/>
  <c r="F58" i="7" s="1"/>
  <c r="D21" i="7"/>
  <c r="D22" i="7"/>
  <c r="D24" i="7"/>
  <c r="D25" i="7"/>
  <c r="D23" i="7"/>
  <c r="I8" i="4"/>
  <c r="I31" i="4" s="1"/>
  <c r="E8" i="4"/>
  <c r="E31" i="4" s="1"/>
  <c r="L115" i="7"/>
  <c r="AB4" i="7"/>
  <c r="Q66" i="6"/>
  <c r="M78" i="7"/>
  <c r="M90" i="7"/>
  <c r="M91" i="7"/>
  <c r="M115" i="7"/>
  <c r="L78" i="7"/>
  <c r="L118" i="7"/>
  <c r="L104" i="7"/>
  <c r="L114" i="7"/>
  <c r="L100" i="7"/>
  <c r="L117" i="7"/>
  <c r="L103" i="7"/>
  <c r="L112" i="7"/>
  <c r="L80" i="7"/>
  <c r="L83" i="7"/>
  <c r="L91" i="7"/>
  <c r="M101" i="7"/>
  <c r="M89" i="7"/>
  <c r="M76" i="7"/>
  <c r="M112" i="7"/>
  <c r="M95" i="7"/>
  <c r="M107" i="7"/>
  <c r="M119" i="7"/>
  <c r="M83" i="7"/>
  <c r="M84" i="7"/>
  <c r="M96" i="7"/>
  <c r="M120" i="7"/>
  <c r="M108" i="7"/>
  <c r="M92" i="7"/>
  <c r="M104" i="7"/>
  <c r="M80" i="7"/>
  <c r="M116" i="7"/>
  <c r="M93" i="7"/>
  <c r="M105" i="7"/>
  <c r="Q105" i="7" s="1"/>
  <c r="Q9" i="7" s="1"/>
  <c r="Q15" i="7" s="1"/>
  <c r="M117" i="7"/>
  <c r="M81" i="7"/>
  <c r="M94" i="7"/>
  <c r="M106" i="7"/>
  <c r="M82" i="7"/>
  <c r="M118" i="7"/>
  <c r="M100" i="7"/>
  <c r="M79" i="7"/>
  <c r="M113" i="7"/>
  <c r="M114" i="7"/>
  <c r="M88" i="7"/>
  <c r="M103" i="7"/>
  <c r="M77" i="7"/>
  <c r="AC84" i="7"/>
  <c r="M102" i="7"/>
  <c r="Q109" i="7"/>
  <c r="O17" i="7"/>
  <c r="O18" i="7" s="1"/>
  <c r="O27" i="7" s="1"/>
  <c r="U15" i="7"/>
  <c r="U22" i="7" s="1"/>
  <c r="U23" i="7" s="1"/>
  <c r="R109" i="7"/>
  <c r="AB106" i="7"/>
  <c r="R10" i="7"/>
  <c r="R15" i="7" s="1"/>
  <c r="V15" i="7"/>
  <c r="V121" i="7"/>
  <c r="AB120" i="7"/>
  <c r="AC120" i="7" s="1"/>
  <c r="M11" i="6"/>
  <c r="O11" i="6"/>
  <c r="N11" i="6"/>
  <c r="P11" i="6"/>
  <c r="L11" i="6"/>
  <c r="K8" i="6"/>
  <c r="P12" i="6"/>
  <c r="K10" i="6"/>
  <c r="O12" i="6"/>
  <c r="L12" i="6"/>
  <c r="K9" i="6"/>
  <c r="K15" i="6"/>
  <c r="K13" i="6"/>
  <c r="K14" i="6"/>
  <c r="F25" i="7" l="1"/>
  <c r="K111" i="7"/>
  <c r="O19" i="7"/>
  <c r="O24" i="7" s="1"/>
  <c r="F24" i="7"/>
  <c r="K99" i="7"/>
  <c r="F23" i="7"/>
  <c r="K87" i="7"/>
  <c r="F22" i="7"/>
  <c r="K75" i="7"/>
  <c r="AB105" i="7"/>
  <c r="E379" i="4"/>
  <c r="E380" i="4" s="1"/>
  <c r="E427" i="4"/>
  <c r="E428" i="4" s="1"/>
  <c r="E206" i="4"/>
  <c r="E207" i="4" s="1"/>
  <c r="E413" i="4"/>
  <c r="E182" i="4"/>
  <c r="E183" i="4" s="1"/>
  <c r="E321" i="4"/>
  <c r="E240" i="4"/>
  <c r="E403" i="4"/>
  <c r="E404" i="4" s="1"/>
  <c r="E39" i="4"/>
  <c r="E34" i="4"/>
  <c r="E264" i="4"/>
  <c r="E230" i="4"/>
  <c r="E231" i="4" s="1"/>
  <c r="E336" i="4"/>
  <c r="E398" i="4"/>
  <c r="E177" i="4"/>
  <c r="E153" i="4"/>
  <c r="E254" i="4"/>
  <c r="E255" i="4" s="1"/>
  <c r="E326" i="4"/>
  <c r="E327" i="4" s="1"/>
  <c r="E312" i="4"/>
  <c r="E144" i="4"/>
  <c r="E345" i="4"/>
  <c r="E85" i="4"/>
  <c r="E201" i="4"/>
  <c r="E302" i="4"/>
  <c r="E303" i="4" s="1"/>
  <c r="E134" i="4"/>
  <c r="E135" i="4" s="1"/>
  <c r="E288" i="4"/>
  <c r="E374" i="4"/>
  <c r="E225" i="4"/>
  <c r="E249" i="4"/>
  <c r="E297" i="4"/>
  <c r="E278" i="4"/>
  <c r="E279" i="4" s="1"/>
  <c r="E360" i="4"/>
  <c r="E168" i="4"/>
  <c r="E422" i="4"/>
  <c r="E273" i="4"/>
  <c r="E129" i="4"/>
  <c r="E350" i="4"/>
  <c r="E351" i="4" s="1"/>
  <c r="E158" i="4"/>
  <c r="E159" i="4" s="1"/>
  <c r="E389" i="4"/>
  <c r="E437" i="4"/>
  <c r="E216" i="4"/>
  <c r="E112" i="4"/>
  <c r="E192" i="4"/>
  <c r="D63" i="7"/>
  <c r="F59" i="7"/>
  <c r="F63" i="7" s="1"/>
  <c r="D26" i="7"/>
  <c r="K43" i="7"/>
  <c r="F21" i="7"/>
  <c r="F26" i="7" s="1"/>
  <c r="I379" i="4"/>
  <c r="I380" i="4" s="1"/>
  <c r="I403" i="4"/>
  <c r="I404" i="4" s="1"/>
  <c r="I182" i="4"/>
  <c r="I183" i="4" s="1"/>
  <c r="I321" i="4"/>
  <c r="I34" i="4"/>
  <c r="I201" i="4"/>
  <c r="I112" i="4"/>
  <c r="I398" i="4"/>
  <c r="I264" i="4"/>
  <c r="I336" i="4"/>
  <c r="I273" i="4"/>
  <c r="I254" i="4"/>
  <c r="I255" i="4" s="1"/>
  <c r="I312" i="4"/>
  <c r="I345" i="4"/>
  <c r="I153" i="4"/>
  <c r="I168" i="4"/>
  <c r="I326" i="4"/>
  <c r="I327" i="4" s="1"/>
  <c r="I216" i="4"/>
  <c r="I302" i="4"/>
  <c r="I303" i="4" s="1"/>
  <c r="I288" i="4"/>
  <c r="I85" i="4"/>
  <c r="I158" i="4"/>
  <c r="I159" i="4" s="1"/>
  <c r="I206" i="4"/>
  <c r="I207" i="4" s="1"/>
  <c r="I225" i="4"/>
  <c r="I278" i="4"/>
  <c r="I279" i="4" s="1"/>
  <c r="I374" i="4"/>
  <c r="L26" i="4"/>
  <c r="I297" i="4"/>
  <c r="I437" i="4"/>
  <c r="I438" i="4" s="1"/>
  <c r="I177" i="4"/>
  <c r="I360" i="4"/>
  <c r="I422" i="4"/>
  <c r="I240" i="4"/>
  <c r="I144" i="4"/>
  <c r="I129" i="4"/>
  <c r="I249" i="4"/>
  <c r="I350" i="4"/>
  <c r="I351" i="4" s="1"/>
  <c r="I39" i="4"/>
  <c r="I40" i="4" s="1"/>
  <c r="I389" i="4"/>
  <c r="I230" i="4"/>
  <c r="I231" i="4" s="1"/>
  <c r="I134" i="4"/>
  <c r="I135" i="4" s="1"/>
  <c r="I427" i="4"/>
  <c r="I428" i="4" s="1"/>
  <c r="I413" i="4"/>
  <c r="I192" i="4"/>
  <c r="O34" i="7"/>
  <c r="U17" i="7"/>
  <c r="U18" i="7" s="1"/>
  <c r="U19" i="7" s="1"/>
  <c r="U24" i="7" s="1"/>
  <c r="U34" i="7" s="1"/>
  <c r="AB15" i="7"/>
  <c r="R22" i="7"/>
  <c r="R23" i="7" s="1"/>
  <c r="R17" i="7"/>
  <c r="R19" i="7"/>
  <c r="Q22" i="7"/>
  <c r="Q23" i="7" s="1"/>
  <c r="Q17" i="7"/>
  <c r="Q18" i="7" s="1"/>
  <c r="V17" i="7"/>
  <c r="V18" i="7" s="1"/>
  <c r="V19" i="7" s="1"/>
  <c r="V22" i="7"/>
  <c r="V23" i="7" s="1"/>
  <c r="P10" i="6"/>
  <c r="N10" i="6"/>
  <c r="L10" i="6"/>
  <c r="M10" i="6"/>
  <c r="O10" i="6"/>
  <c r="N9" i="6"/>
  <c r="P9" i="6"/>
  <c r="O9" i="6"/>
  <c r="M9" i="6"/>
  <c r="L9" i="6"/>
  <c r="K16" i="6"/>
  <c r="N15" i="6"/>
  <c r="M15" i="6"/>
  <c r="L15" i="6"/>
  <c r="O15" i="6"/>
  <c r="P15" i="6"/>
  <c r="N14" i="6"/>
  <c r="P14" i="6"/>
  <c r="O14" i="6"/>
  <c r="M14" i="6"/>
  <c r="L14" i="6"/>
  <c r="O13" i="6"/>
  <c r="L13" i="6"/>
  <c r="N13" i="6"/>
  <c r="P13" i="6"/>
  <c r="M13" i="6"/>
  <c r="K91" i="7" l="1"/>
  <c r="K93" i="7"/>
  <c r="X93" i="7" s="1"/>
  <c r="K92" i="7"/>
  <c r="Y92" i="7" s="1"/>
  <c r="K89" i="7"/>
  <c r="N89" i="7" s="1"/>
  <c r="K95" i="7"/>
  <c r="AC95" i="7" s="1"/>
  <c r="K88" i="7"/>
  <c r="AC88" i="7" s="1"/>
  <c r="K90" i="7"/>
  <c r="Y90" i="7" s="1"/>
  <c r="K94" i="7"/>
  <c r="AC94" i="7" s="1"/>
  <c r="O16" i="6"/>
  <c r="O29" i="6" s="1"/>
  <c r="K105" i="7"/>
  <c r="K100" i="7"/>
  <c r="AC100" i="7" s="1"/>
  <c r="K107" i="7"/>
  <c r="T107" i="7" s="1"/>
  <c r="K106" i="7"/>
  <c r="AC106" i="7" s="1"/>
  <c r="K104" i="7"/>
  <c r="K103" i="7"/>
  <c r="O103" i="7" s="1"/>
  <c r="AB103" i="7" s="1"/>
  <c r="AC103" i="7" s="1"/>
  <c r="K102" i="7"/>
  <c r="K101" i="7"/>
  <c r="N101" i="7" s="1"/>
  <c r="E40" i="4"/>
  <c r="J39" i="4"/>
  <c r="J45" i="4" s="1"/>
  <c r="AC105" i="7"/>
  <c r="K44" i="7"/>
  <c r="AC44" i="7" s="1"/>
  <c r="K49" i="7"/>
  <c r="O49" i="7" s="1"/>
  <c r="K47" i="7"/>
  <c r="K45" i="7"/>
  <c r="N45" i="7" s="1"/>
  <c r="AB45" i="7" s="1"/>
  <c r="K50" i="7"/>
  <c r="O50" i="7" s="1"/>
  <c r="K46" i="7"/>
  <c r="O46" i="7" s="1"/>
  <c r="K51" i="7"/>
  <c r="O51" i="7" s="1"/>
  <c r="K48" i="7"/>
  <c r="O48" i="7" s="1"/>
  <c r="K79" i="7"/>
  <c r="P79" i="7" s="1"/>
  <c r="K76" i="7"/>
  <c r="AC76" i="7" s="1"/>
  <c r="K78" i="7"/>
  <c r="AA78" i="7" s="1"/>
  <c r="K77" i="7"/>
  <c r="N77" i="7" s="1"/>
  <c r="K83" i="7"/>
  <c r="AC83" i="7" s="1"/>
  <c r="K82" i="7"/>
  <c r="W82" i="7" s="1"/>
  <c r="K81" i="7"/>
  <c r="P81" i="7" s="1"/>
  <c r="K80" i="7"/>
  <c r="P80" i="7" s="1"/>
  <c r="K112" i="7"/>
  <c r="AC112" i="7" s="1"/>
  <c r="K114" i="7"/>
  <c r="AC114" i="7" s="1"/>
  <c r="K113" i="7"/>
  <c r="K118" i="7"/>
  <c r="S118" i="7" s="1"/>
  <c r="K117" i="7"/>
  <c r="P117" i="7" s="1"/>
  <c r="AB117" i="7" s="1"/>
  <c r="AC117" i="7" s="1"/>
  <c r="K119" i="7"/>
  <c r="AC119" i="7" s="1"/>
  <c r="K115" i="7"/>
  <c r="P115" i="7" s="1"/>
  <c r="K116" i="7"/>
  <c r="P116" i="7" s="1"/>
  <c r="AB116" i="7" s="1"/>
  <c r="AC116" i="7" s="1"/>
  <c r="K9" i="7"/>
  <c r="K7" i="7"/>
  <c r="K6" i="7"/>
  <c r="K11" i="7"/>
  <c r="K10" i="7"/>
  <c r="K8" i="7"/>
  <c r="K5" i="7"/>
  <c r="K4" i="7"/>
  <c r="V24" i="7"/>
  <c r="V34" i="7" s="1"/>
  <c r="R24" i="7"/>
  <c r="Q19" i="7"/>
  <c r="Q24" i="7" s="1"/>
  <c r="Q27" i="7"/>
  <c r="L16" i="6"/>
  <c r="L29" i="6" s="1"/>
  <c r="L38" i="6" s="1"/>
  <c r="O32" i="6"/>
  <c r="O38" i="6"/>
  <c r="Q13" i="6"/>
  <c r="Q9" i="6"/>
  <c r="Q12" i="6"/>
  <c r="Q29" i="6"/>
  <c r="K20" i="6"/>
  <c r="Q15" i="6"/>
  <c r="Q11" i="6"/>
  <c r="Q14" i="6"/>
  <c r="Q10" i="6"/>
  <c r="P16" i="6"/>
  <c r="P29" i="6" s="1"/>
  <c r="N16" i="6"/>
  <c r="N29" i="6" s="1"/>
  <c r="M16" i="6"/>
  <c r="M29" i="6" s="1"/>
  <c r="AC45" i="7" l="1"/>
  <c r="AB118" i="7"/>
  <c r="AC118" i="7" s="1"/>
  <c r="S10" i="7"/>
  <c r="S15" i="7" s="1"/>
  <c r="S121" i="7"/>
  <c r="AB77" i="7"/>
  <c r="N85" i="7"/>
  <c r="Z102" i="7"/>
  <c r="Y6" i="7"/>
  <c r="AB90" i="7"/>
  <c r="AC90" i="7" s="1"/>
  <c r="AB49" i="7"/>
  <c r="AC49" i="7" s="1"/>
  <c r="O9" i="7"/>
  <c r="AB9" i="7" s="1"/>
  <c r="AC9" i="7" s="1"/>
  <c r="P104" i="7"/>
  <c r="N53" i="7"/>
  <c r="P7" i="7"/>
  <c r="AB79" i="7"/>
  <c r="AC79" i="7" s="1"/>
  <c r="P85" i="7"/>
  <c r="K15" i="7"/>
  <c r="AC4" i="7"/>
  <c r="AC15" i="7" s="1"/>
  <c r="P8" i="7"/>
  <c r="AB80" i="7"/>
  <c r="AC80" i="7" s="1"/>
  <c r="O8" i="7"/>
  <c r="AB8" i="7" s="1"/>
  <c r="AC8" i="7" s="1"/>
  <c r="AB48" i="7"/>
  <c r="AC48" i="7" s="1"/>
  <c r="T11" i="7"/>
  <c r="T15" i="7" s="1"/>
  <c r="T109" i="7"/>
  <c r="AB107" i="7"/>
  <c r="AC107" i="7" s="1"/>
  <c r="N97" i="7"/>
  <c r="AB89" i="7"/>
  <c r="O47" i="7"/>
  <c r="P121" i="7"/>
  <c r="AB115" i="7"/>
  <c r="AC115" i="7" s="1"/>
  <c r="P9" i="7"/>
  <c r="AB81" i="7"/>
  <c r="AC81" i="7" s="1"/>
  <c r="AB51" i="7"/>
  <c r="AC51" i="7" s="1"/>
  <c r="O11" i="7"/>
  <c r="AB11" i="7" s="1"/>
  <c r="AC11" i="7" s="1"/>
  <c r="AB92" i="7"/>
  <c r="AC92" i="7" s="1"/>
  <c r="Y8" i="7"/>
  <c r="N113" i="7"/>
  <c r="L32" i="6"/>
  <c r="W85" i="7"/>
  <c r="AB82" i="7"/>
  <c r="AC82" i="7" s="1"/>
  <c r="W10" i="7"/>
  <c r="W15" i="7" s="1"/>
  <c r="O53" i="7"/>
  <c r="O6" i="7"/>
  <c r="AB6" i="7" s="1"/>
  <c r="AC6" i="7" s="1"/>
  <c r="AB46" i="7"/>
  <c r="AC46" i="7" s="1"/>
  <c r="AB93" i="7"/>
  <c r="AC93" i="7" s="1"/>
  <c r="X9" i="7"/>
  <c r="X15" i="7" s="1"/>
  <c r="X97" i="7"/>
  <c r="AA85" i="7"/>
  <c r="AB78" i="7"/>
  <c r="AC78" i="7" s="1"/>
  <c r="AA6" i="7"/>
  <c r="AA15" i="7" s="1"/>
  <c r="O10" i="7"/>
  <c r="AB10" i="7" s="1"/>
  <c r="AC10" i="7" s="1"/>
  <c r="AB50" i="7"/>
  <c r="AC50" i="7" s="1"/>
  <c r="N109" i="7"/>
  <c r="AB101" i="7"/>
  <c r="O91" i="7"/>
  <c r="Y91" i="7"/>
  <c r="Y7" i="7" s="1"/>
  <c r="Q34" i="7"/>
  <c r="Q16" i="6"/>
  <c r="M32" i="6"/>
  <c r="M38" i="6"/>
  <c r="P38" i="6"/>
  <c r="P32" i="6"/>
  <c r="N38" i="6"/>
  <c r="N32" i="6"/>
  <c r="AA17" i="7" l="1"/>
  <c r="AA18" i="7" s="1"/>
  <c r="AA19" i="7" s="1"/>
  <c r="AA22" i="7"/>
  <c r="AA23" i="7" s="1"/>
  <c r="AB47" i="7"/>
  <c r="AC47" i="7" s="1"/>
  <c r="AC53" i="7" s="1"/>
  <c r="O7" i="7"/>
  <c r="AB7" i="7" s="1"/>
  <c r="AC7" i="7" s="1"/>
  <c r="Z6" i="7"/>
  <c r="Z15" i="7" s="1"/>
  <c r="AB102" i="7"/>
  <c r="AC102" i="7" s="1"/>
  <c r="P109" i="7"/>
  <c r="AB104" i="7"/>
  <c r="AC104" i="7" s="1"/>
  <c r="AC77" i="7"/>
  <c r="AC85" i="7" s="1"/>
  <c r="AB85" i="7"/>
  <c r="W22" i="7"/>
  <c r="W23" i="7" s="1"/>
  <c r="W17" i="7"/>
  <c r="W18" i="7" s="1"/>
  <c r="O97" i="7"/>
  <c r="AB91" i="7"/>
  <c r="AC91" i="7" s="1"/>
  <c r="AC89" i="7"/>
  <c r="AB97" i="7"/>
  <c r="AC101" i="7"/>
  <c r="S17" i="7"/>
  <c r="S18" i="7" s="1"/>
  <c r="S22" i="7"/>
  <c r="S23" i="7" s="1"/>
  <c r="X17" i="7"/>
  <c r="X18" i="7" s="1"/>
  <c r="X19" i="7" s="1"/>
  <c r="X24" i="7" s="1"/>
  <c r="X34" i="7" s="1"/>
  <c r="X22" i="7"/>
  <c r="X23" i="7" s="1"/>
  <c r="T17" i="7"/>
  <c r="T18" i="7" s="1"/>
  <c r="T22" i="7"/>
  <c r="T23" i="7" s="1"/>
  <c r="AB113" i="7"/>
  <c r="N121" i="7"/>
  <c r="N5" i="7"/>
  <c r="P15" i="7"/>
  <c r="Y15" i="7"/>
  <c r="AB53" i="7"/>
  <c r="Q44" i="6"/>
  <c r="Q71" i="6" s="1"/>
  <c r="AC97" i="7" l="1"/>
  <c r="Z22" i="7"/>
  <c r="Z23" i="7" s="1"/>
  <c r="Z17" i="7"/>
  <c r="Z18" i="7" s="1"/>
  <c r="Z19" i="7" s="1"/>
  <c r="Z24" i="7" s="1"/>
  <c r="Z34" i="7" s="1"/>
  <c r="W27" i="7"/>
  <c r="W19" i="7"/>
  <c r="W24" i="7" s="1"/>
  <c r="W34" i="7" s="1"/>
  <c r="AB5" i="7"/>
  <c r="AC5" i="7" s="1"/>
  <c r="N15" i="7"/>
  <c r="S27" i="7"/>
  <c r="S19" i="7"/>
  <c r="S24" i="7" s="1"/>
  <c r="AB109" i="7"/>
  <c r="T19" i="7"/>
  <c r="T24" i="7" s="1"/>
  <c r="T27" i="7"/>
  <c r="Y22" i="7"/>
  <c r="Y23" i="7" s="1"/>
  <c r="Y17" i="7"/>
  <c r="Y18" i="7" s="1"/>
  <c r="Y19" i="7" s="1"/>
  <c r="P17" i="7"/>
  <c r="P18" i="7" s="1"/>
  <c r="P22" i="7"/>
  <c r="P23" i="7" s="1"/>
  <c r="AB121" i="7"/>
  <c r="AC113" i="7"/>
  <c r="AC121" i="7" s="1"/>
  <c r="AC109" i="7"/>
  <c r="AA24" i="7"/>
  <c r="AA34" i="7" s="1"/>
  <c r="Q46" i="6"/>
  <c r="Q47" i="6" s="1"/>
  <c r="Y24" i="7" l="1"/>
  <c r="Y34" i="7" s="1"/>
  <c r="P27" i="7"/>
  <c r="P19" i="7"/>
  <c r="P24" i="7" s="1"/>
  <c r="P34" i="7" s="1"/>
  <c r="N22" i="7"/>
  <c r="N17" i="7"/>
  <c r="T34" i="7"/>
  <c r="S34" i="7"/>
  <c r="N18" i="7" l="1"/>
  <c r="AB17" i="7"/>
  <c r="AB22" i="7"/>
  <c r="N23" i="7"/>
  <c r="AB23" i="7" s="1"/>
  <c r="AB18" i="7" l="1"/>
  <c r="N27" i="7"/>
  <c r="N19" i="7"/>
  <c r="N24" i="7" l="1"/>
  <c r="N34" i="7" s="1"/>
  <c r="AB34" i="7" s="1"/>
  <c r="AB19" i="7"/>
  <c r="AB24" i="7" s="1"/>
  <c r="AC36" i="7" s="1"/>
  <c r="AB27" i="7"/>
  <c r="R27" i="7"/>
  <c r="R34" i="7" s="1"/>
</calcChain>
</file>

<file path=xl/comments1.xml><?xml version="1.0" encoding="utf-8"?>
<comments xmlns="http://schemas.openxmlformats.org/spreadsheetml/2006/main">
  <authors>
    <author>Arun</author>
  </authors>
  <commentList>
    <comment ref="U108" authorId="0" shapeId="0">
      <text>
        <r>
          <rPr>
            <b/>
            <sz val="9"/>
            <color indexed="81"/>
            <rFont val="Tahoma"/>
            <family val="2"/>
          </rPr>
          <t>Bill on Additional work for 849 Pillar on package - IV @ 1850 per pillar Total cost Rs. 15,70,650/- (Package - IV)</t>
        </r>
      </text>
    </comment>
    <comment ref="V120" authorId="0" shapeId="0">
      <text>
        <r>
          <rPr>
            <b/>
            <sz val="9"/>
            <color indexed="81"/>
            <rFont val="Tahoma"/>
            <family val="2"/>
          </rPr>
          <t xml:space="preserve">Bill on Additional work for 849 Pillar on package - IV @ 1850 per pillar Total cost Rs. 15,70,650/- (Package - V)
</t>
        </r>
      </text>
    </comment>
  </commentList>
</comments>
</file>

<file path=xl/sharedStrings.xml><?xml version="1.0" encoding="utf-8"?>
<sst xmlns="http://schemas.openxmlformats.org/spreadsheetml/2006/main" count="1711" uniqueCount="305">
  <si>
    <t>Date of Submission</t>
  </si>
  <si>
    <t>Time Taken</t>
  </si>
  <si>
    <t>Received Amount</t>
  </si>
  <si>
    <t xml:space="preserve">Date of Receipt/ Reminder </t>
  </si>
  <si>
    <t>DPR Projects Invoice Status Sheet</t>
  </si>
  <si>
    <t>Project Name</t>
  </si>
  <si>
    <t>Project Cost, Rs.</t>
  </si>
  <si>
    <t>Length, km.</t>
  </si>
  <si>
    <t>Satwari (Jammu Airport)-Kunjwani-Vijaypur</t>
  </si>
  <si>
    <t>Gangheri in Pehowa-Charkhi Dadri-Narnaul</t>
  </si>
  <si>
    <t>Actual amount to be raised</t>
  </si>
  <si>
    <t>Submitted amount</t>
  </si>
  <si>
    <t>INVOICE Stage-3 @</t>
  </si>
  <si>
    <t>INVOICE Stage-2 @</t>
  </si>
  <si>
    <t>INVOICE Stage-4 @</t>
  </si>
  <si>
    <t>INVOICE Stage-5 @</t>
  </si>
  <si>
    <t>INVOICE Stage-6 @</t>
  </si>
  <si>
    <t>INVOICE Stage-7 @</t>
  </si>
  <si>
    <t>INVOICE Stage-8 @</t>
  </si>
  <si>
    <t>INVOICE Stage-9 @</t>
  </si>
  <si>
    <t>INVOICE Stage-10 @</t>
  </si>
  <si>
    <t>INVOICE Stage-11 @</t>
  </si>
  <si>
    <t>INVOICE Stage-12@</t>
  </si>
  <si>
    <t>INVOICE Stage-13 @</t>
  </si>
  <si>
    <t>INVOICE Stage-14 @</t>
  </si>
  <si>
    <t>INVOICE Stage-15 @</t>
  </si>
  <si>
    <t>INVOICE Stage-16 @</t>
  </si>
  <si>
    <t>Key Personnel</t>
  </si>
  <si>
    <t>Sub Professional</t>
  </si>
  <si>
    <t>Support Professional</t>
  </si>
  <si>
    <t>Transportation</t>
  </si>
  <si>
    <t>Duty Travel</t>
  </si>
  <si>
    <t>Office Rent</t>
  </si>
  <si>
    <t>Office Supplies</t>
  </si>
  <si>
    <t>Furniture and Fixtures</t>
  </si>
  <si>
    <t>Reports and Doc</t>
  </si>
  <si>
    <t>Survey &amp; Investigations</t>
  </si>
  <si>
    <t>Boundary Pillars</t>
  </si>
  <si>
    <t xml:space="preserve">LA Team </t>
  </si>
  <si>
    <t>Misc Expenses</t>
  </si>
  <si>
    <t>Total Contract Value</t>
  </si>
  <si>
    <t>Payment Received</t>
  </si>
  <si>
    <t>Date of Receipt Of GST Payment</t>
  </si>
  <si>
    <t>Submitted Invoice Amount</t>
  </si>
  <si>
    <t>GST amount for Invoice</t>
  </si>
  <si>
    <t>As per Agreement</t>
  </si>
  <si>
    <t>Amount Payable for this Stage</t>
  </si>
  <si>
    <t>Invoice Detail</t>
  </si>
  <si>
    <t>Invoice approval by Client</t>
  </si>
  <si>
    <t>Second Invoice if Partial submitted previosly</t>
  </si>
  <si>
    <t>Payment Receipt Against Invoice</t>
  </si>
  <si>
    <t>Payment Receipt Against GST</t>
  </si>
  <si>
    <t>Received AmountAgainst GST</t>
  </si>
  <si>
    <t>INVOICE Stage-1 Balance Amount in Case first is Submitted as partial</t>
  </si>
  <si>
    <t>Invoice No</t>
  </si>
  <si>
    <t>Invoice Amount (Submitted)</t>
  </si>
  <si>
    <t>Invoice Amount (Approved)</t>
  </si>
  <si>
    <t>Corrected GST Amount (Approved)</t>
  </si>
  <si>
    <t>Payment Receipt Against Invoice (if Partially made)</t>
  </si>
  <si>
    <t>Date of Balance Payment</t>
  </si>
  <si>
    <t xml:space="preserve">Paid Amount Against Invoice </t>
  </si>
  <si>
    <t>Date of Payment</t>
  </si>
  <si>
    <t xml:space="preserve">Date of Receipt </t>
  </si>
  <si>
    <t xml:space="preserve">Balance Amount (Received) </t>
  </si>
  <si>
    <t>Amended length, km.</t>
  </si>
  <si>
    <t>Payable Length, km. (after 10% variation as per Cl. 10 of CA)</t>
  </si>
  <si>
    <t>Revised project cost as per payable length</t>
  </si>
  <si>
    <t>Invoice No/ Ref No.</t>
  </si>
  <si>
    <t>Contract Agreement details</t>
  </si>
  <si>
    <t xml:space="preserve">No. of Stretches </t>
  </si>
  <si>
    <t>Name of stretches</t>
  </si>
  <si>
    <t>Consultancy services for Preparation of DPR for development of Economic Corridors, Inter corridors and Feeder routes to improve the effeciency of Freight Movement in India under Bharatmala Pariyojana (LOT-6/PKG-6)</t>
  </si>
  <si>
    <t>Length, km</t>
  </si>
  <si>
    <t>Contract Financial details</t>
  </si>
  <si>
    <t xml:space="preserve">Project cost </t>
  </si>
  <si>
    <t>Total Project Length, km.</t>
  </si>
  <si>
    <t>Amendments</t>
  </si>
  <si>
    <t>Stages compeleted before amendment</t>
  </si>
  <si>
    <t>Tax Invoice Billing</t>
  </si>
  <si>
    <t>A.</t>
  </si>
  <si>
    <t>B.</t>
  </si>
  <si>
    <t>Tax Invoice billing</t>
  </si>
  <si>
    <t>Xyz</t>
  </si>
  <si>
    <t>Moraigaon</t>
  </si>
  <si>
    <t>Completion days</t>
  </si>
  <si>
    <t>Target date</t>
  </si>
  <si>
    <t>Contract Agreement Date</t>
  </si>
  <si>
    <t>SAICPL/EC/2018/DPR/Lot-6/Pkg-6/7398</t>
  </si>
  <si>
    <t>% age Payble  for this Stage</t>
  </si>
  <si>
    <t xml:space="preserve">Date of  Invoice </t>
  </si>
  <si>
    <t>Revised Scope of Work</t>
  </si>
  <si>
    <t>Stage of Invoice</t>
  </si>
  <si>
    <t>%age Claimed</t>
  </si>
  <si>
    <t>Payable Length</t>
  </si>
  <si>
    <t>Letter Stage-2</t>
  </si>
  <si>
    <t>3-June,9306</t>
  </si>
  <si>
    <t>Invoice Difference Analysis</t>
  </si>
  <si>
    <t>Difference (Submitted-Approved)</t>
  </si>
  <si>
    <t>Is Difference acceptable</t>
  </si>
  <si>
    <t>If Not Then Disputed Amount</t>
  </si>
  <si>
    <t>Correspondence on Disputed Amount</t>
  </si>
  <si>
    <t>Amount Received</t>
  </si>
  <si>
    <t>Payment Receipt Against Dispute</t>
  </si>
  <si>
    <t>Dispute Reference</t>
  </si>
  <si>
    <t>Total Out Standing Amount of Diputes till this Stage</t>
  </si>
  <si>
    <t>Another Invoice if Partial submitted previosly</t>
  </si>
  <si>
    <t>Total Out Standing Amount of Diputes till this Stage (after Payment)</t>
  </si>
  <si>
    <t>Correspondence on Balance Disputed Amount</t>
  </si>
  <si>
    <r>
      <t>INVOICE Stage-1 (</t>
    </r>
    <r>
      <rPr>
        <b/>
        <sz val="12"/>
        <color rgb="FFFF0000"/>
        <rFont val="Calibri"/>
        <family val="2"/>
        <scheme val="minor"/>
      </rPr>
      <t>Invoicing has to be linked with DAK management)</t>
    </r>
  </si>
  <si>
    <t>SS</t>
  </si>
  <si>
    <t>RENT</t>
  </si>
  <si>
    <t>SURVEY</t>
  </si>
  <si>
    <t>Post Report Consultation</t>
  </si>
  <si>
    <t>OTH</t>
  </si>
  <si>
    <t>Kms</t>
  </si>
  <si>
    <t>Division</t>
  </si>
  <si>
    <t>Factor</t>
  </si>
  <si>
    <t>Pkg Amount</t>
  </si>
  <si>
    <t>Addl Work</t>
  </si>
  <si>
    <t>Total</t>
  </si>
  <si>
    <t>Total Contract Amount</t>
  </si>
  <si>
    <t>Package 1</t>
  </si>
  <si>
    <t>Package 2</t>
  </si>
  <si>
    <t>Package 3</t>
  </si>
  <si>
    <t>Package 4</t>
  </si>
  <si>
    <t>Package 5</t>
  </si>
  <si>
    <t>Inception Report</t>
  </si>
  <si>
    <t>KD1</t>
  </si>
  <si>
    <t>On Submission of Draft feasibility</t>
  </si>
  <si>
    <t>KD2</t>
  </si>
  <si>
    <t>Report and Land Plan Schedules and Utility Relocation</t>
  </si>
  <si>
    <t>KD3</t>
  </si>
  <si>
    <t>Report and Indicative GAD of structures (bridges, grade separators, ROB/ROBs)</t>
  </si>
  <si>
    <t>KD4</t>
  </si>
  <si>
    <t>Report on Envirnment and Social Impact Assessment</t>
  </si>
  <si>
    <t>KD5</t>
  </si>
  <si>
    <t>Draft Feasibility cum preliminary design Report and schedules to the Contract Agreement (EPC)</t>
  </si>
  <si>
    <t>KD6</t>
  </si>
  <si>
    <t>Final Feasibility cum preliminary design Report</t>
  </si>
  <si>
    <t>KD7</t>
  </si>
  <si>
    <t>Completion of Services including assistance during Bid Process</t>
  </si>
  <si>
    <t>KD8</t>
  </si>
  <si>
    <t>Additioanl Work - Pillar Work</t>
  </si>
  <si>
    <t>KD0</t>
  </si>
  <si>
    <t>Sikkim Package</t>
  </si>
  <si>
    <t>Additional- Difference</t>
  </si>
  <si>
    <t>Contract Summary</t>
  </si>
  <si>
    <t>Actual Days to Complete</t>
  </si>
  <si>
    <t>3,4,5</t>
  </si>
  <si>
    <t>Factor Based</t>
  </si>
  <si>
    <t>Length, km    OR  Factor (%)</t>
  </si>
  <si>
    <t>Length applicability to check'</t>
  </si>
  <si>
    <t>inv no-</t>
  </si>
  <si>
    <t>Yes</t>
  </si>
  <si>
    <t>Can be ontained from Bid-proposal-Header and Lines</t>
  </si>
  <si>
    <t>Amount</t>
  </si>
  <si>
    <t>KP+SP</t>
  </si>
  <si>
    <t>OFFSUP</t>
  </si>
  <si>
    <t>FURN</t>
  </si>
  <si>
    <t>REPORTS</t>
  </si>
  <si>
    <t>Stages Table</t>
  </si>
  <si>
    <t>KD9</t>
  </si>
  <si>
    <t>Payment Terms</t>
  </si>
  <si>
    <t>Stage Code</t>
  </si>
  <si>
    <t>Stage Description</t>
  </si>
  <si>
    <r>
      <t>INVOICE Stage-1(</t>
    </r>
    <r>
      <rPr>
        <b/>
        <sz val="14"/>
        <color rgb="FFFF0000"/>
        <rFont val="Calibri"/>
        <family val="2"/>
        <scheme val="minor"/>
      </rPr>
      <t>Invoicing has to be linked with DAK management)</t>
    </r>
  </si>
  <si>
    <t>No of Packages</t>
  </si>
  <si>
    <t>Contract Agrement date</t>
  </si>
  <si>
    <t>etc</t>
  </si>
  <si>
    <t>Ammendmends</t>
  </si>
  <si>
    <t>Select stages from the dropdown</t>
  </si>
  <si>
    <t>add total of % payent fromStage master</t>
  </si>
  <si>
    <t>add total of % payment from Stage master</t>
  </si>
  <si>
    <t>calculation</t>
  </si>
  <si>
    <t>Duration to Complete</t>
  </si>
  <si>
    <t>Target Date</t>
  </si>
  <si>
    <t>Actual Days took to complete</t>
  </si>
  <si>
    <t>Actual Completion Date</t>
  </si>
  <si>
    <t>Delayed/Ahead by</t>
  </si>
  <si>
    <t>Target date-actual date</t>
  </si>
  <si>
    <t>Delay Difference to monitor</t>
  </si>
  <si>
    <t>Logic to be defined  / Manual</t>
  </si>
  <si>
    <t>TOTAL</t>
  </si>
  <si>
    <t>File Attach</t>
  </si>
  <si>
    <t>Boolean</t>
  </si>
  <si>
    <t>Manual Amount</t>
  </si>
  <si>
    <t>Calc</t>
  </si>
  <si>
    <t>Invoice Number</t>
  </si>
  <si>
    <t>Inv submitted date</t>
  </si>
  <si>
    <t>INV-01</t>
  </si>
  <si>
    <t>REPEATED</t>
  </si>
  <si>
    <t xml:space="preserve">Less TDS </t>
  </si>
  <si>
    <t>GST Recived from Client</t>
  </si>
  <si>
    <t>With hold - Service Tax</t>
  </si>
  <si>
    <t>TDS on GST @ 2%</t>
  </si>
  <si>
    <t xml:space="preserve">SD </t>
  </si>
  <si>
    <t>Project
 clearance</t>
  </si>
  <si>
    <t>Alignment</t>
  </si>
  <si>
    <t>Other</t>
  </si>
  <si>
    <t>Others</t>
  </si>
  <si>
    <t>Cheque No / Online Ref</t>
  </si>
  <si>
    <t>RTGS ref/Cheq</t>
  </si>
  <si>
    <t>Total Received</t>
  </si>
  <si>
    <t>DPR019 - Sikkim Projects  (5 Packages) - NHIDCL</t>
  </si>
  <si>
    <t>Contract Financial</t>
  </si>
  <si>
    <t>Stage Wise - Summary</t>
  </si>
  <si>
    <t>Days to Complete</t>
  </si>
  <si>
    <t>Balance Work</t>
  </si>
  <si>
    <t>A</t>
  </si>
  <si>
    <t>Invoice Details</t>
  </si>
  <si>
    <t>Allowed GST 18%</t>
  </si>
  <si>
    <t>Total …</t>
  </si>
  <si>
    <t>B</t>
  </si>
  <si>
    <t>Payment Details</t>
  </si>
  <si>
    <t>Invoice Amount</t>
  </si>
  <si>
    <t>Receiveable</t>
  </si>
  <si>
    <t>C</t>
  </si>
  <si>
    <t>Withhold Details</t>
  </si>
  <si>
    <t>Contract Date</t>
  </si>
  <si>
    <t>Service Tax
/ GST 
Withheld</t>
  </si>
  <si>
    <t>D</t>
  </si>
  <si>
    <t>Balance To Receive</t>
  </si>
  <si>
    <t>E</t>
  </si>
  <si>
    <t>Package/Stretch Wise - Details</t>
  </si>
  <si>
    <t>Package - P1</t>
  </si>
  <si>
    <t>Days</t>
  </si>
  <si>
    <t>TOTAL …</t>
  </si>
  <si>
    <t>Package - P2</t>
  </si>
  <si>
    <t>Package - P3</t>
  </si>
  <si>
    <t>Package - P4</t>
  </si>
  <si>
    <t>Package - P5</t>
  </si>
  <si>
    <t>total</t>
  </si>
  <si>
    <t>Package details for Invoice</t>
  </si>
  <si>
    <t>Bill Summary</t>
  </si>
  <si>
    <t>Invoice Submitted</t>
  </si>
  <si>
    <t>Gross BillAmount</t>
  </si>
  <si>
    <t>Total With hold amount …</t>
  </si>
  <si>
    <t>manual</t>
  </si>
  <si>
    <t>GST / Tax percentage</t>
  </si>
  <si>
    <t>File</t>
  </si>
  <si>
    <t>Invoice Date</t>
  </si>
  <si>
    <t>Withheld Details</t>
  </si>
  <si>
    <t>Release of Withheld Amount</t>
  </si>
  <si>
    <t>Total With hold amount Released…</t>
  </si>
  <si>
    <t xml:space="preserve">Payment Receipt </t>
  </si>
  <si>
    <t xml:space="preserve">Above are sample for the understanding </t>
  </si>
  <si>
    <t>Formats as Deepakji explained yesterday can be used for user interface</t>
  </si>
  <si>
    <t>Addl-1</t>
  </si>
  <si>
    <t>3 Km</t>
  </si>
  <si>
    <t>EOT Date</t>
  </si>
  <si>
    <t>In case of New Stretch EOT required</t>
  </si>
  <si>
    <t>DPR001</t>
  </si>
  <si>
    <t>KD10</t>
  </si>
  <si>
    <t>Bonus</t>
  </si>
  <si>
    <t>Input sheet for Project manager</t>
  </si>
  <si>
    <t>vechiles, no, insurance</t>
  </si>
  <si>
    <t>c</t>
  </si>
  <si>
    <t>NO</t>
  </si>
  <si>
    <t>Date</t>
  </si>
  <si>
    <t>Stage</t>
  </si>
  <si>
    <t>Input</t>
  </si>
  <si>
    <t>Project</t>
  </si>
  <si>
    <t>Package</t>
  </si>
  <si>
    <t>P3</t>
  </si>
  <si>
    <t>Inv-03</t>
  </si>
  <si>
    <t>MB-03</t>
  </si>
  <si>
    <t>P5</t>
  </si>
  <si>
    <t>invoice -05</t>
  </si>
  <si>
    <t>P01-MB01</t>
  </si>
  <si>
    <t>P01-MB02</t>
  </si>
  <si>
    <t>P01-MB03</t>
  </si>
  <si>
    <t>P01-MB04</t>
  </si>
  <si>
    <t>P01-MB05</t>
  </si>
  <si>
    <t>P05-MB05</t>
  </si>
  <si>
    <t>P05-MB01</t>
  </si>
  <si>
    <t>P05-MB02</t>
  </si>
  <si>
    <t>P05-MB03</t>
  </si>
  <si>
    <t>P05-MB04</t>
  </si>
  <si>
    <t>MB-04</t>
  </si>
  <si>
    <t>Linked stage</t>
  </si>
  <si>
    <t>Bonus 2% after 3A submission</t>
  </si>
  <si>
    <t>Key Personnel &amp; Sub prof</t>
  </si>
  <si>
    <t>KD01</t>
  </si>
  <si>
    <t>KD02</t>
  </si>
  <si>
    <t>KD03</t>
  </si>
  <si>
    <t>KD04</t>
  </si>
  <si>
    <t>KD05</t>
  </si>
  <si>
    <t>KD06</t>
  </si>
  <si>
    <t>KD07</t>
  </si>
  <si>
    <t>KD08</t>
  </si>
  <si>
    <t>DPR001-P01</t>
  </si>
  <si>
    <t>DPR001-P02</t>
  </si>
  <si>
    <t>DPR001-P03</t>
  </si>
  <si>
    <t>DPR001-P04</t>
  </si>
  <si>
    <t>DPR001-P05</t>
  </si>
  <si>
    <t>230 Km</t>
  </si>
  <si>
    <t>Summary</t>
  </si>
  <si>
    <t>Biiling</t>
  </si>
  <si>
    <t>Packages</t>
  </si>
  <si>
    <t>P01-KD01</t>
  </si>
  <si>
    <t>Biiled</t>
  </si>
  <si>
    <t>this bill</t>
  </si>
  <si>
    <t>Mobilization date :</t>
  </si>
  <si>
    <t>Bonus1</t>
  </si>
  <si>
    <t>Bonus2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</si>
</sst>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_(* #,##0.00_);_(* \(#,##0.00\);_(* &quot;-&quot;??_);_(@_)"/>
    <numFmt numFmtId="165" formatCode="[$-409]d/mmm/yy;@"/>
    <numFmt numFmtId="166" formatCode="_(* #,##0_);_(* \(#,##0\);_(* &quot;-&quot;??_);_(@_)"/>
    <numFmt numFmtId="167" formatCode="[$-409]d/mm/yyyy;@"/>
    <numFmt numFmtId="168" formatCode="[$-409]d/mmm/yyyy;@"/>
    <numFmt numFmtId="169" formatCode="0.0%"/>
    <numFmt numFmtId="170" formatCode="dd/mmm/yyyy"/>
    <numFmt numFmtId="171" formatCode="_(* #,##0.0_);_(* \(#,##0.0\);_(* &quot;-&quot;??_);_(@_)"/>
    <numFmt numFmtId="172" formatCode="_(* #,##0.000_);_(* \(#,##0.000\);_(* &quot;-&quot;??_);_(@_)"/>
    <numFmt numFmtId="173" formatCode="_ * #,##0_ ;_ * \-#,##0_ ;_ * &quot;-&quot;??_ ;_ @_ "/>
    <numFmt numFmtId="174" formatCode="mmm/yyyy"/>
    <numFmt numFmtId="175" formatCode="[$-409]dd/mmm/yy;@"/>
    <numFmt numFmtId="176" formatCode="0.00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24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8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66" fontId="0" fillId="0" borderId="1" xfId="3" applyNumberFormat="1" applyFont="1" applyBorder="1"/>
    <xf numFmtId="166" fontId="0" fillId="0" borderId="1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9" fontId="2" fillId="0" borderId="0" xfId="2" applyFont="1" applyBorder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6" fontId="2" fillId="0" borderId="1" xfId="1" applyNumberFormat="1" applyFont="1" applyBorder="1" applyAlignment="1">
      <alignment horizontal="right"/>
    </xf>
    <xf numFmtId="9" fontId="2" fillId="0" borderId="1" xfId="2" applyFont="1" applyBorder="1" applyAlignment="1">
      <alignment horizontal="left" vertical="center" wrapText="1"/>
    </xf>
    <xf numFmtId="9" fontId="2" fillId="0" borderId="1" xfId="2" applyFont="1" applyBorder="1" applyAlignment="1">
      <alignment horizontal="right"/>
    </xf>
    <xf numFmtId="9" fontId="2" fillId="0" borderId="0" xfId="2" applyFont="1" applyBorder="1"/>
    <xf numFmtId="0" fontId="2" fillId="0" borderId="1" xfId="0" applyFont="1" applyBorder="1" applyAlignment="1">
      <alignment horizontal="left" vertical="center" wrapText="1"/>
    </xf>
    <xf numFmtId="166" fontId="2" fillId="0" borderId="0" xfId="1" applyNumberFormat="1" applyFont="1" applyBorder="1"/>
    <xf numFmtId="0" fontId="2" fillId="0" borderId="0" xfId="0" applyFont="1" applyBorder="1"/>
    <xf numFmtId="0" fontId="5" fillId="0" borderId="1" xfId="0" applyFont="1" applyBorder="1" applyAlignment="1">
      <alignment horizontal="left" vertical="center" wrapText="1"/>
    </xf>
    <xf numFmtId="166" fontId="5" fillId="0" borderId="1" xfId="1" applyNumberFormat="1" applyFont="1" applyBorder="1" applyAlignment="1">
      <alignment horizontal="right"/>
    </xf>
    <xf numFmtId="166" fontId="5" fillId="0" borderId="0" xfId="1" applyNumberFormat="1" applyFont="1" applyBorder="1"/>
    <xf numFmtId="168" fontId="5" fillId="0" borderId="1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8" fontId="5" fillId="0" borderId="0" xfId="0" applyNumberFormat="1" applyFont="1" applyBorder="1" applyAlignment="1">
      <alignment horizontal="center" vertical="center"/>
    </xf>
    <xf numFmtId="9" fontId="2" fillId="0" borderId="1" xfId="2" applyFont="1" applyBorder="1" applyAlignment="1">
      <alignment horizontal="right" vertical="center"/>
    </xf>
    <xf numFmtId="170" fontId="5" fillId="0" borderId="1" xfId="0" applyNumberFormat="1" applyFont="1" applyBorder="1" applyAlignment="1">
      <alignment horizontal="right" vertical="center"/>
    </xf>
    <xf numFmtId="169" fontId="2" fillId="0" borderId="1" xfId="2" applyNumberFormat="1" applyFont="1" applyBorder="1" applyAlignment="1">
      <alignment horizontal="left" vertical="center" wrapText="1"/>
    </xf>
    <xf numFmtId="169" fontId="2" fillId="0" borderId="1" xfId="2" applyNumberFormat="1" applyFont="1" applyBorder="1" applyAlignment="1">
      <alignment horizontal="right" vertical="center" wrapText="1"/>
    </xf>
    <xf numFmtId="170" fontId="5" fillId="0" borderId="0" xfId="0" applyNumberFormat="1" applyFont="1" applyBorder="1" applyAlignment="1">
      <alignment horizontal="center" vertical="center"/>
    </xf>
    <xf numFmtId="9" fontId="5" fillId="0" borderId="0" xfId="2" applyFont="1" applyBorder="1"/>
    <xf numFmtId="170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9" fontId="2" fillId="0" borderId="1" xfId="2" applyFont="1" applyBorder="1"/>
    <xf numFmtId="0" fontId="2" fillId="0" borderId="1" xfId="0" applyFont="1" applyBorder="1"/>
    <xf numFmtId="0" fontId="5" fillId="0" borderId="1" xfId="0" applyFont="1" applyBorder="1"/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166" fontId="3" fillId="0" borderId="0" xfId="3" applyNumberFormat="1" applyFont="1" applyBorder="1"/>
    <xf numFmtId="0" fontId="2" fillId="0" borderId="0" xfId="0" applyFont="1" applyBorder="1" applyAlignment="1">
      <alignment textRotation="90"/>
    </xf>
    <xf numFmtId="0" fontId="1" fillId="0" borderId="0" xfId="0" applyFont="1" applyBorder="1" applyAlignment="1">
      <alignment textRotation="90"/>
    </xf>
    <xf numFmtId="166" fontId="3" fillId="0" borderId="1" xfId="3" applyNumberFormat="1" applyFont="1" applyBorder="1"/>
    <xf numFmtId="0" fontId="5" fillId="0" borderId="1" xfId="0" applyFont="1" applyBorder="1" applyAlignment="1">
      <alignment wrapText="1"/>
    </xf>
    <xf numFmtId="166" fontId="3" fillId="0" borderId="0" xfId="3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0" borderId="1" xfId="2" applyNumberFormat="1" applyFont="1" applyBorder="1" applyAlignment="1">
      <alignment horizontal="right"/>
    </xf>
    <xf numFmtId="0" fontId="5" fillId="0" borderId="0" xfId="2" applyNumberFormat="1" applyFont="1" applyBorder="1"/>
    <xf numFmtId="0" fontId="5" fillId="0" borderId="0" xfId="2" applyNumberFormat="1" applyFont="1" applyBorder="1" applyAlignment="1">
      <alignment horizontal="center" vertical="center"/>
    </xf>
    <xf numFmtId="170" fontId="3" fillId="0" borderId="1" xfId="3" applyNumberFormat="1" applyFont="1" applyBorder="1"/>
    <xf numFmtId="170" fontId="2" fillId="0" borderId="0" xfId="0" applyNumberFormat="1" applyFont="1" applyBorder="1" applyAlignment="1">
      <alignment horizontal="center" vertical="center"/>
    </xf>
    <xf numFmtId="170" fontId="5" fillId="0" borderId="0" xfId="0" applyNumberFormat="1" applyFont="1" applyBorder="1"/>
    <xf numFmtId="170" fontId="5" fillId="0" borderId="1" xfId="0" applyNumberFormat="1" applyFont="1" applyBorder="1"/>
    <xf numFmtId="166" fontId="5" fillId="0" borderId="0" xfId="1" applyNumberFormat="1" applyFont="1" applyBorder="1" applyAlignment="1">
      <alignment horizontal="right"/>
    </xf>
    <xf numFmtId="0" fontId="7" fillId="0" borderId="0" xfId="4"/>
    <xf numFmtId="0" fontId="7" fillId="0" borderId="1" xfId="4" applyBorder="1" applyAlignment="1">
      <alignment wrapText="1"/>
    </xf>
    <xf numFmtId="0" fontId="5" fillId="0" borderId="1" xfId="2" applyNumberFormat="1" applyFont="1" applyBorder="1"/>
    <xf numFmtId="166" fontId="5" fillId="0" borderId="1" xfId="0" applyNumberFormat="1" applyFont="1" applyBorder="1"/>
    <xf numFmtId="9" fontId="5" fillId="0" borderId="1" xfId="2" applyFont="1" applyBorder="1" applyAlignment="1">
      <alignment horizontal="left" vertical="center" wrapText="1"/>
    </xf>
    <xf numFmtId="0" fontId="5" fillId="0" borderId="6" xfId="2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/>
    </xf>
    <xf numFmtId="166" fontId="3" fillId="0" borderId="7" xfId="3" applyNumberFormat="1" applyFont="1" applyBorder="1" applyAlignment="1"/>
    <xf numFmtId="0" fontId="9" fillId="2" borderId="4" xfId="0" applyFont="1" applyFill="1" applyBorder="1" applyAlignment="1" applyProtection="1">
      <alignment horizontal="center" vertical="center"/>
    </xf>
    <xf numFmtId="171" fontId="3" fillId="0" borderId="2" xfId="3" applyNumberFormat="1" applyFont="1" applyBorder="1" applyAlignment="1"/>
    <xf numFmtId="164" fontId="3" fillId="0" borderId="1" xfId="3" applyNumberFormat="1" applyFont="1" applyBorder="1"/>
    <xf numFmtId="164" fontId="3" fillId="0" borderId="7" xfId="3" applyNumberFormat="1" applyFont="1" applyBorder="1" applyAlignment="1"/>
    <xf numFmtId="171" fontId="3" fillId="0" borderId="0" xfId="3" applyNumberFormat="1" applyFont="1" applyBorder="1" applyAlignment="1"/>
    <xf numFmtId="0" fontId="9" fillId="2" borderId="0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/>
    </xf>
    <xf numFmtId="172" fontId="2" fillId="0" borderId="1" xfId="1" applyNumberFormat="1" applyFont="1" applyBorder="1" applyAlignment="1">
      <alignment horizontal="right"/>
    </xf>
    <xf numFmtId="0" fontId="2" fillId="2" borderId="1" xfId="0" applyFont="1" applyFill="1" applyBorder="1" applyAlignment="1">
      <alignment vertical="top"/>
    </xf>
    <xf numFmtId="0" fontId="7" fillId="0" borderId="0" xfId="4" applyAlignment="1">
      <alignment horizontal="center" vertical="center"/>
    </xf>
    <xf numFmtId="166" fontId="5" fillId="0" borderId="1" xfId="1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8" fontId="5" fillId="0" borderId="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textRotation="90"/>
    </xf>
    <xf numFmtId="0" fontId="5" fillId="0" borderId="0" xfId="0" applyFont="1" applyBorder="1" applyAlignment="1">
      <alignment vertical="top" wrapText="1"/>
    </xf>
    <xf numFmtId="168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168" fontId="5" fillId="0" borderId="0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5" fillId="0" borderId="7" xfId="0" applyFont="1" applyBorder="1" applyAlignment="1">
      <alignment horizontal="right" vertical="center"/>
    </xf>
    <xf numFmtId="166" fontId="3" fillId="0" borderId="6" xfId="3" applyNumberFormat="1" applyFont="1" applyBorder="1" applyAlignment="1">
      <alignment vertical="center"/>
    </xf>
    <xf numFmtId="166" fontId="3" fillId="0" borderId="7" xfId="3" applyNumberFormat="1" applyFont="1" applyBorder="1" applyAlignment="1">
      <alignment vertical="center"/>
    </xf>
    <xf numFmtId="166" fontId="1" fillId="0" borderId="6" xfId="3" applyNumberFormat="1" applyFont="1" applyBorder="1" applyAlignment="1">
      <alignment vertical="center"/>
    </xf>
    <xf numFmtId="166" fontId="1" fillId="0" borderId="7" xfId="3" applyNumberFormat="1" applyFont="1" applyBorder="1" applyAlignment="1">
      <alignment vertical="center"/>
    </xf>
    <xf numFmtId="164" fontId="3" fillId="0" borderId="1" xfId="3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/>
    </xf>
    <xf numFmtId="173" fontId="5" fillId="0" borderId="1" xfId="1" applyNumberFormat="1" applyFont="1" applyBorder="1"/>
    <xf numFmtId="173" fontId="5" fillId="0" borderId="1" xfId="0" applyNumberFormat="1" applyFont="1" applyBorder="1"/>
    <xf numFmtId="173" fontId="5" fillId="0" borderId="1" xfId="0" applyNumberFormat="1" applyFont="1" applyBorder="1" applyAlignment="1">
      <alignment horizontal="right"/>
    </xf>
    <xf numFmtId="14" fontId="5" fillId="0" borderId="1" xfId="0" applyNumberFormat="1" applyFont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1" fontId="0" fillId="0" borderId="0" xfId="0" applyNumberFormat="1"/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9" fontId="0" fillId="0" borderId="0" xfId="2" applyFont="1" applyBorder="1"/>
    <xf numFmtId="1" fontId="0" fillId="0" borderId="0" xfId="0" applyNumberFormat="1" applyBorder="1"/>
    <xf numFmtId="0" fontId="1" fillId="0" borderId="0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4" fillId="0" borderId="13" xfId="0" applyFont="1" applyBorder="1"/>
    <xf numFmtId="1" fontId="1" fillId="0" borderId="0" xfId="0" applyNumberFormat="1" applyFont="1" applyBorder="1"/>
    <xf numFmtId="170" fontId="1" fillId="0" borderId="6" xfId="3" applyNumberFormat="1" applyFont="1" applyBorder="1" applyAlignment="1"/>
    <xf numFmtId="170" fontId="1" fillId="0" borderId="7" xfId="3" applyNumberFormat="1" applyFont="1" applyBorder="1" applyAlignment="1"/>
    <xf numFmtId="170" fontId="1" fillId="0" borderId="2" xfId="3" applyNumberFormat="1" applyFont="1" applyBorder="1" applyAlignment="1"/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0" fontId="2" fillId="0" borderId="7" xfId="0" applyNumberFormat="1" applyFont="1" applyBorder="1" applyAlignment="1">
      <alignment vertical="center"/>
    </xf>
    <xf numFmtId="170" fontId="2" fillId="0" borderId="2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3" fillId="0" borderId="1" xfId="3" applyNumberFormat="1" applyFont="1" applyBorder="1" applyAlignment="1"/>
    <xf numFmtId="166" fontId="3" fillId="0" borderId="1" xfId="3" applyNumberFormat="1" applyFont="1" applyBorder="1" applyAlignment="1"/>
    <xf numFmtId="170" fontId="3" fillId="0" borderId="1" xfId="3" applyNumberFormat="1" applyFont="1" applyBorder="1" applyAlignment="1"/>
    <xf numFmtId="9" fontId="2" fillId="0" borderId="1" xfId="2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/>
    <xf numFmtId="0" fontId="0" fillId="0" borderId="0" xfId="0" applyFill="1" applyBorder="1"/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70" fontId="2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9" fontId="2" fillId="0" borderId="14" xfId="2" applyFont="1" applyBorder="1" applyAlignment="1">
      <alignment horizontal="center" vertical="center"/>
    </xf>
    <xf numFmtId="166" fontId="2" fillId="0" borderId="14" xfId="1" applyNumberFormat="1" applyFont="1" applyBorder="1"/>
    <xf numFmtId="167" fontId="5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textRotation="90"/>
    </xf>
    <xf numFmtId="0" fontId="0" fillId="0" borderId="16" xfId="0" applyBorder="1" applyAlignment="1">
      <alignment horizontal="left" vertical="center" wrapText="1"/>
    </xf>
    <xf numFmtId="166" fontId="3" fillId="0" borderId="16" xfId="3" applyNumberFormat="1" applyFont="1" applyBorder="1" applyAlignment="1">
      <alignment horizontal="left"/>
    </xf>
    <xf numFmtId="166" fontId="3" fillId="0" borderId="16" xfId="3" applyNumberFormat="1" applyFont="1" applyBorder="1"/>
    <xf numFmtId="0" fontId="5" fillId="0" borderId="16" xfId="0" applyFont="1" applyBorder="1"/>
    <xf numFmtId="172" fontId="10" fillId="0" borderId="31" xfId="1" applyNumberFormat="1" applyFont="1" applyBorder="1" applyAlignment="1">
      <alignment horizontal="center" vertical="center"/>
    </xf>
    <xf numFmtId="172" fontId="10" fillId="0" borderId="0" xfId="1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top"/>
    </xf>
    <xf numFmtId="0" fontId="5" fillId="0" borderId="5" xfId="0" applyFont="1" applyBorder="1" applyAlignment="1">
      <alignment horizontal="left"/>
    </xf>
    <xf numFmtId="166" fontId="2" fillId="0" borderId="5" xfId="1" applyNumberFormat="1" applyFont="1" applyBorder="1" applyAlignment="1">
      <alignment horizontal="right"/>
    </xf>
    <xf numFmtId="0" fontId="5" fillId="0" borderId="5" xfId="0" applyFont="1" applyBorder="1"/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166" fontId="5" fillId="0" borderId="12" xfId="1" applyNumberFormat="1" applyFont="1" applyBorder="1"/>
    <xf numFmtId="0" fontId="2" fillId="0" borderId="13" xfId="0" applyFont="1" applyBorder="1" applyAlignment="1">
      <alignment horizontal="left" vertical="center"/>
    </xf>
    <xf numFmtId="166" fontId="5" fillId="0" borderId="14" xfId="1" applyNumberFormat="1" applyFont="1" applyBorder="1"/>
    <xf numFmtId="0" fontId="5" fillId="0" borderId="14" xfId="2" applyNumberFormat="1" applyFont="1" applyBorder="1"/>
    <xf numFmtId="166" fontId="5" fillId="0" borderId="14" xfId="1" applyNumberFormat="1" applyFont="1" applyBorder="1" applyAlignment="1">
      <alignment horizontal="right"/>
    </xf>
    <xf numFmtId="0" fontId="5" fillId="0" borderId="14" xfId="0" applyFont="1" applyBorder="1"/>
    <xf numFmtId="168" fontId="5" fillId="0" borderId="14" xfId="0" applyNumberFormat="1" applyFont="1" applyBorder="1" applyAlignment="1">
      <alignment horizontal="center" vertical="center"/>
    </xf>
    <xf numFmtId="168" fontId="5" fillId="0" borderId="14" xfId="0" applyNumberFormat="1" applyFont="1" applyBorder="1" applyAlignment="1">
      <alignment horizontal="center" vertical="center" wrapText="1"/>
    </xf>
    <xf numFmtId="168" fontId="5" fillId="0" borderId="14" xfId="0" applyNumberFormat="1" applyFont="1" applyBorder="1" applyAlignment="1">
      <alignment horizontal="center" vertical="top"/>
    </xf>
    <xf numFmtId="0" fontId="4" fillId="0" borderId="26" xfId="0" applyFont="1" applyBorder="1" applyAlignment="1">
      <alignment vertical="center" textRotation="90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7" fillId="0" borderId="0" xfId="4" applyBorder="1" applyAlignment="1">
      <alignment horizontal="center" vertical="center"/>
    </xf>
    <xf numFmtId="0" fontId="4" fillId="0" borderId="32" xfId="0" applyFont="1" applyBorder="1" applyAlignment="1">
      <alignment vertical="center" textRotation="90"/>
    </xf>
    <xf numFmtId="0" fontId="5" fillId="0" borderId="34" xfId="0" applyFont="1" applyBorder="1" applyAlignment="1">
      <alignment horizontal="left" vertical="center" wrapText="1"/>
    </xf>
    <xf numFmtId="168" fontId="5" fillId="0" borderId="34" xfId="0" applyNumberFormat="1" applyFont="1" applyBorder="1" applyAlignment="1">
      <alignment horizontal="right" vertical="center"/>
    </xf>
    <xf numFmtId="0" fontId="5" fillId="0" borderId="34" xfId="0" applyFont="1" applyBorder="1"/>
    <xf numFmtId="168" fontId="5" fillId="0" borderId="17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166" fontId="2" fillId="0" borderId="24" xfId="1" applyNumberFormat="1" applyFont="1" applyBorder="1" applyAlignment="1">
      <alignment horizontal="right"/>
    </xf>
    <xf numFmtId="0" fontId="5" fillId="0" borderId="24" xfId="0" applyFont="1" applyBorder="1"/>
    <xf numFmtId="0" fontId="5" fillId="0" borderId="0" xfId="0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2" fillId="8" borderId="7" xfId="0" applyFont="1" applyFill="1" applyBorder="1" applyAlignment="1">
      <alignment horizontal="left" vertical="center" wrapText="1"/>
    </xf>
    <xf numFmtId="166" fontId="2" fillId="8" borderId="1" xfId="0" applyNumberFormat="1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center" vertical="center" wrapText="1"/>
    </xf>
    <xf numFmtId="166" fontId="2" fillId="9" borderId="1" xfId="0" applyNumberFormat="1" applyFont="1" applyFill="1" applyBorder="1" applyAlignment="1">
      <alignment horizontal="center" vertical="center"/>
    </xf>
    <xf numFmtId="166" fontId="2" fillId="9" borderId="6" xfId="0" applyNumberFormat="1" applyFont="1" applyFill="1" applyBorder="1" applyAlignment="1">
      <alignment horizontal="center" vertical="center"/>
    </xf>
    <xf numFmtId="166" fontId="2" fillId="9" borderId="40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/>
    </xf>
    <xf numFmtId="166" fontId="5" fillId="8" borderId="1" xfId="0" applyNumberFormat="1" applyFont="1" applyFill="1" applyBorder="1"/>
    <xf numFmtId="166" fontId="5" fillId="8" borderId="6" xfId="0" applyNumberFormat="1" applyFont="1" applyFill="1" applyBorder="1"/>
    <xf numFmtId="166" fontId="5" fillId="8" borderId="40" xfId="0" applyNumberFormat="1" applyFont="1" applyFill="1" applyBorder="1"/>
    <xf numFmtId="0" fontId="2" fillId="8" borderId="42" xfId="0" applyFont="1" applyFill="1" applyBorder="1" applyAlignment="1">
      <alignment horizontal="left" vertical="center"/>
    </xf>
    <xf numFmtId="0" fontId="2" fillId="9" borderId="42" xfId="0" applyFont="1" applyFill="1" applyBorder="1" applyAlignment="1">
      <alignment horizontal="left" vertical="center"/>
    </xf>
    <xf numFmtId="0" fontId="2" fillId="10" borderId="43" xfId="0" applyFont="1" applyFill="1" applyBorder="1" applyAlignment="1">
      <alignment horizontal="left" vertical="center"/>
    </xf>
    <xf numFmtId="0" fontId="2" fillId="10" borderId="44" xfId="0" applyFont="1" applyFill="1" applyBorder="1" applyAlignment="1">
      <alignment vertical="center" wrapText="1"/>
    </xf>
    <xf numFmtId="0" fontId="10" fillId="10" borderId="38" xfId="0" applyFont="1" applyFill="1" applyBorder="1" applyAlignment="1">
      <alignment vertical="center" wrapText="1"/>
    </xf>
    <xf numFmtId="166" fontId="2" fillId="10" borderId="34" xfId="1" applyNumberFormat="1" applyFont="1" applyFill="1" applyBorder="1" applyAlignment="1">
      <alignment horizontal="right"/>
    </xf>
    <xf numFmtId="0" fontId="5" fillId="10" borderId="34" xfId="0" applyFont="1" applyFill="1" applyBorder="1"/>
    <xf numFmtId="0" fontId="5" fillId="10" borderId="37" xfId="0" applyFont="1" applyFill="1" applyBorder="1"/>
    <xf numFmtId="0" fontId="5" fillId="10" borderId="41" xfId="0" applyFont="1" applyFill="1" applyBorder="1"/>
    <xf numFmtId="0" fontId="1" fillId="10" borderId="7" xfId="0" applyFont="1" applyFill="1" applyBorder="1" applyAlignment="1">
      <alignment vertical="center"/>
    </xf>
    <xf numFmtId="0" fontId="1" fillId="10" borderId="2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right" vertical="center"/>
    </xf>
    <xf numFmtId="0" fontId="0" fillId="12" borderId="7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166" fontId="0" fillId="12" borderId="1" xfId="3" applyNumberFormat="1" applyFont="1" applyFill="1" applyBorder="1" applyAlignment="1">
      <alignment horizontal="right" vertical="center"/>
    </xf>
    <xf numFmtId="0" fontId="0" fillId="14" borderId="7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166" fontId="3" fillId="14" borderId="1" xfId="3" applyNumberFormat="1" applyFont="1" applyFill="1" applyBorder="1" applyAlignment="1"/>
    <xf numFmtId="0" fontId="2" fillId="0" borderId="21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2"/>
    </xf>
    <xf numFmtId="170" fontId="2" fillId="0" borderId="6" xfId="0" applyNumberFormat="1" applyFont="1" applyBorder="1" applyAlignment="1">
      <alignment horizontal="left" vertical="center" indent="2"/>
    </xf>
    <xf numFmtId="0" fontId="0" fillId="0" borderId="6" xfId="0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 indent="2"/>
    </xf>
    <xf numFmtId="0" fontId="1" fillId="10" borderId="6" xfId="0" applyFont="1" applyFill="1" applyBorder="1" applyAlignment="1">
      <alignment horizontal="left" vertical="center" indent="2"/>
    </xf>
    <xf numFmtId="0" fontId="0" fillId="12" borderId="6" xfId="0" applyFill="1" applyBorder="1" applyAlignment="1">
      <alignment horizontal="left" vertical="center" indent="2"/>
    </xf>
    <xf numFmtId="0" fontId="0" fillId="14" borderId="6" xfId="0" applyFill="1" applyBorder="1" applyAlignment="1">
      <alignment horizontal="left" vertical="center" indent="2"/>
    </xf>
    <xf numFmtId="0" fontId="10" fillId="2" borderId="20" xfId="0" applyFont="1" applyFill="1" applyBorder="1" applyAlignment="1">
      <alignment horizontal="center" vertical="center" textRotation="90"/>
    </xf>
    <xf numFmtId="0" fontId="10" fillId="2" borderId="26" xfId="0" applyFont="1" applyFill="1" applyBorder="1" applyAlignment="1">
      <alignment horizontal="center" vertical="center" textRotation="90"/>
    </xf>
    <xf numFmtId="0" fontId="10" fillId="2" borderId="32" xfId="0" applyFont="1" applyFill="1" applyBorder="1" applyAlignment="1">
      <alignment horizontal="center" vertical="center" textRotation="90"/>
    </xf>
    <xf numFmtId="0" fontId="2" fillId="3" borderId="3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2" fillId="2" borderId="3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66" fontId="5" fillId="0" borderId="24" xfId="0" applyNumberFormat="1" applyFont="1" applyBorder="1" applyAlignment="1">
      <alignment horizontal="left"/>
    </xf>
    <xf numFmtId="166" fontId="18" fillId="0" borderId="4" xfId="1" applyNumberFormat="1" applyFont="1" applyFill="1" applyBorder="1" applyAlignment="1">
      <alignment horizontal="left"/>
    </xf>
    <xf numFmtId="9" fontId="5" fillId="0" borderId="1" xfId="2" applyFont="1" applyBorder="1" applyAlignment="1">
      <alignment horizontal="left" vertical="center"/>
    </xf>
    <xf numFmtId="0" fontId="5" fillId="0" borderId="19" xfId="2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0" fontId="2" fillId="10" borderId="15" xfId="0" applyFont="1" applyFill="1" applyBorder="1" applyAlignment="1">
      <alignment horizontal="left" vertical="center"/>
    </xf>
    <xf numFmtId="0" fontId="0" fillId="0" borderId="0" xfId="0" applyAlignment="1"/>
    <xf numFmtId="166" fontId="5" fillId="0" borderId="1" xfId="0" applyNumberFormat="1" applyFont="1" applyBorder="1" applyAlignment="1">
      <alignment horizontal="left" vertical="center"/>
    </xf>
    <xf numFmtId="0" fontId="0" fillId="12" borderId="0" xfId="0" applyFill="1"/>
    <xf numFmtId="0" fontId="5" fillId="0" borderId="1" xfId="0" applyFont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wrapText="1"/>
    </xf>
    <xf numFmtId="166" fontId="5" fillId="9" borderId="1" xfId="1" applyNumberFormat="1" applyFont="1" applyFill="1" applyBorder="1" applyAlignment="1">
      <alignment horizontal="right"/>
    </xf>
    <xf numFmtId="14" fontId="5" fillId="9" borderId="1" xfId="0" applyNumberFormat="1" applyFont="1" applyFill="1" applyBorder="1"/>
    <xf numFmtId="168" fontId="5" fillId="9" borderId="1" xfId="0" applyNumberFormat="1" applyFont="1" applyFill="1" applyBorder="1" applyAlignment="1">
      <alignment horizontal="right" vertical="center"/>
    </xf>
    <xf numFmtId="173" fontId="0" fillId="9" borderId="45" xfId="0" applyNumberFormat="1" applyFill="1" applyBorder="1"/>
    <xf numFmtId="0" fontId="5" fillId="0" borderId="1" xfId="0" applyFont="1" applyBorder="1" applyAlignment="1">
      <alignment vertical="top" wrapText="1"/>
    </xf>
    <xf numFmtId="0" fontId="16" fillId="0" borderId="0" xfId="0" applyFont="1"/>
    <xf numFmtId="0" fontId="19" fillId="0" borderId="0" xfId="0" applyFont="1"/>
    <xf numFmtId="0" fontId="20" fillId="16" borderId="1" xfId="0" applyFont="1" applyFill="1" applyBorder="1" applyAlignment="1">
      <alignment vertical="center"/>
    </xf>
    <xf numFmtId="0" fontId="21" fillId="16" borderId="1" xfId="0" applyFont="1" applyFill="1" applyBorder="1"/>
    <xf numFmtId="0" fontId="13" fillId="16" borderId="1" xfId="0" applyFont="1" applyFill="1" applyBorder="1"/>
    <xf numFmtId="0" fontId="13" fillId="16" borderId="1" xfId="0" applyFont="1" applyFill="1" applyBorder="1" applyAlignment="1">
      <alignment horizontal="center" vertical="center" wrapText="1"/>
    </xf>
    <xf numFmtId="174" fontId="13" fillId="16" borderId="1" xfId="0" applyNumberFormat="1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9" fontId="0" fillId="0" borderId="1" xfId="2" applyFont="1" applyBorder="1"/>
    <xf numFmtId="166" fontId="0" fillId="0" borderId="1" xfId="1" applyNumberFormat="1" applyFont="1" applyBorder="1"/>
    <xf numFmtId="0" fontId="0" fillId="0" borderId="1" xfId="0" applyBorder="1"/>
    <xf numFmtId="175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wrapText="1"/>
    </xf>
    <xf numFmtId="9" fontId="3" fillId="0" borderId="1" xfId="2" applyFont="1" applyBorder="1"/>
    <xf numFmtId="0" fontId="1" fillId="0" borderId="7" xfId="0" applyFont="1" applyBorder="1"/>
    <xf numFmtId="0" fontId="1" fillId="0" borderId="2" xfId="0" applyFont="1" applyBorder="1"/>
    <xf numFmtId="0" fontId="0" fillId="0" borderId="6" xfId="0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" fillId="14" borderId="1" xfId="0" applyFont="1" applyFill="1" applyBorder="1" applyAlignment="1">
      <alignment vertical="center"/>
    </xf>
    <xf numFmtId="9" fontId="1" fillId="14" borderId="1" xfId="0" applyNumberFormat="1" applyFont="1" applyFill="1" applyBorder="1" applyAlignment="1">
      <alignment vertical="center"/>
    </xf>
    <xf numFmtId="166" fontId="1" fillId="14" borderId="1" xfId="1" applyNumberFormat="1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35" xfId="0" applyBorder="1"/>
    <xf numFmtId="0" fontId="0" fillId="0" borderId="45" xfId="0" applyBorder="1"/>
    <xf numFmtId="0" fontId="12" fillId="0" borderId="18" xfId="0" applyFont="1" applyBorder="1" applyAlignment="1">
      <alignment horizontal="center"/>
    </xf>
    <xf numFmtId="0" fontId="12" fillId="0" borderId="0" xfId="0" applyFont="1" applyBorder="1"/>
    <xf numFmtId="0" fontId="12" fillId="0" borderId="1" xfId="0" applyFont="1" applyBorder="1" applyAlignment="1">
      <alignment horizontal="center"/>
    </xf>
    <xf numFmtId="0" fontId="12" fillId="0" borderId="6" xfId="0" applyFont="1" applyBorder="1"/>
    <xf numFmtId="166" fontId="0" fillId="0" borderId="1" xfId="0" applyNumberFormat="1" applyBorder="1"/>
    <xf numFmtId="0" fontId="0" fillId="0" borderId="18" xfId="0" applyBorder="1"/>
    <xf numFmtId="0" fontId="0" fillId="0" borderId="6" xfId="0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/>
    <xf numFmtId="176" fontId="0" fillId="0" borderId="1" xfId="0" applyNumberFormat="1" applyBorder="1"/>
    <xf numFmtId="0" fontId="0" fillId="8" borderId="3" xfId="0" applyFill="1" applyBorder="1" applyAlignment="1">
      <alignment horizontal="center"/>
    </xf>
    <xf numFmtId="0" fontId="0" fillId="8" borderId="3" xfId="0" applyFill="1" applyBorder="1"/>
    <xf numFmtId="176" fontId="0" fillId="8" borderId="3" xfId="0" applyNumberFormat="1" applyFill="1" applyBorder="1"/>
    <xf numFmtId="166" fontId="0" fillId="8" borderId="3" xfId="1" applyNumberFormat="1" applyFont="1" applyFill="1" applyBorder="1"/>
    <xf numFmtId="0" fontId="0" fillId="15" borderId="6" xfId="0" applyFill="1" applyBorder="1" applyAlignment="1">
      <alignment horizontal="center" vertical="center"/>
    </xf>
    <xf numFmtId="0" fontId="0" fillId="15" borderId="7" xfId="0" applyFill="1" applyBorder="1" applyAlignment="1">
      <alignment vertical="center"/>
    </xf>
    <xf numFmtId="175" fontId="0" fillId="15" borderId="7" xfId="0" applyNumberFormat="1" applyFill="1" applyBorder="1" applyAlignment="1">
      <alignment vertical="center"/>
    </xf>
    <xf numFmtId="0" fontId="0" fillId="15" borderId="7" xfId="0" applyFill="1" applyBorder="1"/>
    <xf numFmtId="0" fontId="0" fillId="15" borderId="2" xfId="0" applyFill="1" applyBorder="1"/>
    <xf numFmtId="9" fontId="0" fillId="0" borderId="2" xfId="0" applyNumberFormat="1" applyBorder="1" applyAlignment="1">
      <alignment horizontal="center"/>
    </xf>
    <xf numFmtId="166" fontId="0" fillId="0" borderId="0" xfId="1" applyNumberFormat="1" applyFont="1"/>
    <xf numFmtId="0" fontId="1" fillId="0" borderId="6" xfId="0" applyFont="1" applyBorder="1"/>
    <xf numFmtId="166" fontId="1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vertical="center"/>
    </xf>
    <xf numFmtId="0" fontId="5" fillId="13" borderId="7" xfId="0" applyFont="1" applyFill="1" applyBorder="1" applyAlignment="1">
      <alignment vertical="center"/>
    </xf>
    <xf numFmtId="0" fontId="5" fillId="13" borderId="2" xfId="0" applyFont="1" applyFill="1" applyBorder="1" applyAlignment="1">
      <alignment vertical="center"/>
    </xf>
    <xf numFmtId="166" fontId="5" fillId="13" borderId="1" xfId="0" applyNumberFormat="1" applyFont="1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166" fontId="5" fillId="6" borderId="1" xfId="0" applyNumberFormat="1" applyFont="1" applyFill="1" applyBorder="1" applyAlignment="1">
      <alignment vertical="center"/>
    </xf>
    <xf numFmtId="166" fontId="0" fillId="0" borderId="0" xfId="0" applyNumberFormat="1" applyBorder="1"/>
    <xf numFmtId="0" fontId="0" fillId="0" borderId="19" xfId="0" applyBorder="1"/>
    <xf numFmtId="0" fontId="0" fillId="0" borderId="46" xfId="0" applyBorder="1"/>
    <xf numFmtId="166" fontId="0" fillId="0" borderId="46" xfId="0" applyNumberFormat="1" applyBorder="1"/>
    <xf numFmtId="175" fontId="0" fillId="0" borderId="0" xfId="0" applyNumberFormat="1" applyAlignment="1">
      <alignment vertical="center"/>
    </xf>
    <xf numFmtId="0" fontId="17" fillId="0" borderId="0" xfId="0" applyFont="1"/>
    <xf numFmtId="0" fontId="6" fillId="7" borderId="1" xfId="0" applyFont="1" applyFill="1" applyBorder="1"/>
    <xf numFmtId="0" fontId="0" fillId="7" borderId="1" xfId="0" applyFill="1" applyBorder="1"/>
    <xf numFmtId="9" fontId="1" fillId="7" borderId="1" xfId="0" applyNumberFormat="1" applyFont="1" applyFill="1" applyBorder="1"/>
    <xf numFmtId="166" fontId="0" fillId="7" borderId="1" xfId="0" applyNumberFormat="1" applyFill="1" applyBorder="1"/>
    <xf numFmtId="0" fontId="0" fillId="7" borderId="1" xfId="0" applyFill="1" applyBorder="1" applyAlignment="1">
      <alignment horizontal="center"/>
    </xf>
    <xf numFmtId="15" fontId="1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ont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9" fontId="1" fillId="11" borderId="1" xfId="2" applyFont="1" applyFill="1" applyBorder="1"/>
    <xf numFmtId="166" fontId="1" fillId="11" borderId="1" xfId="1" applyNumberFormat="1" applyFont="1" applyFill="1" applyBorder="1"/>
    <xf numFmtId="175" fontId="1" fillId="11" borderId="1" xfId="0" applyNumberFormat="1" applyFont="1" applyFill="1" applyBorder="1" applyAlignment="1">
      <alignment vertical="center"/>
    </xf>
    <xf numFmtId="166" fontId="1" fillId="11" borderId="1" xfId="0" applyNumberFormat="1" applyFont="1" applyFill="1" applyBorder="1"/>
    <xf numFmtId="0" fontId="0" fillId="0" borderId="0" xfId="0" applyAlignment="1">
      <alignment horizontal="center" vertical="center" wrapText="1"/>
    </xf>
    <xf numFmtId="0" fontId="2" fillId="10" borderId="16" xfId="0" applyFont="1" applyFill="1" applyBorder="1" applyAlignment="1">
      <alignment horizontal="left" vertical="center" wrapText="1"/>
    </xf>
    <xf numFmtId="0" fontId="10" fillId="10" borderId="47" xfId="0" applyFont="1" applyFill="1" applyBorder="1" applyAlignment="1">
      <alignment vertical="center" wrapText="1"/>
    </xf>
    <xf numFmtId="166" fontId="2" fillId="10" borderId="33" xfId="1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center" vertical="center"/>
    </xf>
    <xf numFmtId="0" fontId="24" fillId="12" borderId="48" xfId="0" applyFont="1" applyFill="1" applyBorder="1" applyAlignment="1">
      <alignment horizontal="center" vertical="center"/>
    </xf>
    <xf numFmtId="166" fontId="18" fillId="0" borderId="8" xfId="1" applyNumberFormat="1" applyFont="1" applyFill="1" applyBorder="1" applyAlignment="1">
      <alignment horizontal="left"/>
    </xf>
    <xf numFmtId="0" fontId="24" fillId="12" borderId="49" xfId="0" applyFont="1" applyFill="1" applyBorder="1" applyAlignment="1">
      <alignment horizontal="center" vertical="center"/>
    </xf>
    <xf numFmtId="166" fontId="2" fillId="10" borderId="50" xfId="1" applyNumberFormat="1" applyFont="1" applyFill="1" applyBorder="1" applyAlignment="1">
      <alignment horizontal="right"/>
    </xf>
    <xf numFmtId="166" fontId="5" fillId="0" borderId="51" xfId="0" applyNumberFormat="1" applyFont="1" applyBorder="1" applyAlignment="1">
      <alignment horizontal="left"/>
    </xf>
    <xf numFmtId="9" fontId="5" fillId="0" borderId="39" xfId="2" applyFont="1" applyBorder="1" applyAlignment="1">
      <alignment horizontal="left" vertical="center" wrapText="1"/>
    </xf>
    <xf numFmtId="166" fontId="5" fillId="0" borderId="39" xfId="0" applyNumberFormat="1" applyFont="1" applyBorder="1" applyAlignment="1">
      <alignment horizontal="left" vertical="center"/>
    </xf>
    <xf numFmtId="0" fontId="5" fillId="0" borderId="39" xfId="2" applyNumberFormat="1" applyFont="1" applyBorder="1" applyAlignment="1">
      <alignment horizontal="left" vertical="center" wrapText="1"/>
    </xf>
    <xf numFmtId="0" fontId="5" fillId="0" borderId="28" xfId="2" applyNumberFormat="1" applyFont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/>
    </xf>
    <xf numFmtId="166" fontId="5" fillId="0" borderId="39" xfId="0" applyNumberFormat="1" applyFont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/>
    </xf>
    <xf numFmtId="168" fontId="5" fillId="0" borderId="34" xfId="0" applyNumberFormat="1" applyFont="1" applyBorder="1" applyAlignment="1">
      <alignment horizontal="center" vertical="center"/>
    </xf>
    <xf numFmtId="168" fontId="5" fillId="0" borderId="31" xfId="0" applyNumberFormat="1" applyFont="1" applyBorder="1" applyAlignment="1">
      <alignment horizontal="center" vertical="center"/>
    </xf>
    <xf numFmtId="0" fontId="25" fillId="0" borderId="0" xfId="0" applyFont="1"/>
    <xf numFmtId="0" fontId="5" fillId="0" borderId="24" xfId="0" applyFont="1" applyBorder="1" applyAlignment="1">
      <alignment horizontal="left" vertical="center" wrapText="1"/>
    </xf>
    <xf numFmtId="173" fontId="5" fillId="0" borderId="24" xfId="1" applyNumberFormat="1" applyFont="1" applyBorder="1"/>
    <xf numFmtId="166" fontId="5" fillId="0" borderId="24" xfId="1" applyNumberFormat="1" applyFont="1" applyBorder="1" applyAlignment="1">
      <alignment horizontal="right"/>
    </xf>
    <xf numFmtId="173" fontId="5" fillId="0" borderId="39" xfId="1" applyNumberFormat="1" applyFont="1" applyBorder="1"/>
    <xf numFmtId="173" fontId="5" fillId="0" borderId="39" xfId="0" applyNumberFormat="1" applyFont="1" applyBorder="1" applyAlignment="1">
      <alignment horizontal="right"/>
    </xf>
    <xf numFmtId="0" fontId="5" fillId="0" borderId="39" xfId="0" applyFont="1" applyBorder="1" applyAlignment="1">
      <alignment horizontal="left" vertical="center" wrapText="1"/>
    </xf>
    <xf numFmtId="0" fontId="5" fillId="0" borderId="39" xfId="0" applyFont="1" applyBorder="1" applyAlignment="1">
      <alignment vertical="top" wrapText="1"/>
    </xf>
    <xf numFmtId="173" fontId="0" fillId="9" borderId="52" xfId="0" applyNumberFormat="1" applyFill="1" applyBorder="1"/>
    <xf numFmtId="14" fontId="5" fillId="9" borderId="39" xfId="0" applyNumberFormat="1" applyFont="1" applyFill="1" applyBorder="1"/>
    <xf numFmtId="0" fontId="5" fillId="0" borderId="3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173" fontId="5" fillId="0" borderId="5" xfId="1" applyNumberFormat="1" applyFont="1" applyBorder="1"/>
    <xf numFmtId="166" fontId="5" fillId="0" borderId="5" xfId="1" applyNumberFormat="1" applyFont="1" applyBorder="1" applyAlignment="1">
      <alignment horizontal="right"/>
    </xf>
    <xf numFmtId="10" fontId="5" fillId="0" borderId="39" xfId="1" applyNumberFormat="1" applyFont="1" applyBorder="1"/>
    <xf numFmtId="0" fontId="5" fillId="0" borderId="39" xfId="0" applyFont="1" applyBorder="1" applyAlignment="1"/>
    <xf numFmtId="173" fontId="5" fillId="0" borderId="5" xfId="0" applyNumberFormat="1" applyFont="1" applyBorder="1" applyAlignment="1"/>
    <xf numFmtId="173" fontId="5" fillId="0" borderId="28" xfId="0" applyNumberFormat="1" applyFont="1" applyBorder="1" applyAlignment="1"/>
    <xf numFmtId="0" fontId="2" fillId="2" borderId="34" xfId="0" applyFont="1" applyFill="1" applyBorder="1" applyAlignment="1">
      <alignment horizontal="left" vertical="top"/>
    </xf>
    <xf numFmtId="173" fontId="5" fillId="0" borderId="34" xfId="1" applyNumberFormat="1" applyFont="1" applyBorder="1" applyAlignment="1"/>
    <xf numFmtId="166" fontId="5" fillId="0" borderId="34" xfId="1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/>
    <xf numFmtId="166" fontId="5" fillId="0" borderId="3" xfId="1" applyNumberFormat="1" applyFont="1" applyBorder="1" applyAlignment="1">
      <alignment horizontal="right"/>
    </xf>
    <xf numFmtId="0" fontId="2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0" fontId="5" fillId="9" borderId="34" xfId="0" applyFont="1" applyFill="1" applyBorder="1" applyAlignment="1">
      <alignment horizontal="left" vertical="center" wrapText="1"/>
    </xf>
    <xf numFmtId="14" fontId="5" fillId="9" borderId="34" xfId="0" applyNumberFormat="1" applyFont="1" applyFill="1" applyBorder="1"/>
    <xf numFmtId="168" fontId="5" fillId="9" borderId="34" xfId="0" applyNumberFormat="1" applyFont="1" applyFill="1" applyBorder="1" applyAlignment="1">
      <alignment horizontal="right" vertical="center"/>
    </xf>
    <xf numFmtId="14" fontId="5" fillId="9" borderId="31" xfId="0" applyNumberFormat="1" applyFont="1" applyFill="1" applyBorder="1"/>
    <xf numFmtId="0" fontId="5" fillId="0" borderId="53" xfId="0" applyFont="1" applyBorder="1" applyAlignment="1">
      <alignment horizontal="right"/>
    </xf>
    <xf numFmtId="0" fontId="25" fillId="0" borderId="0" xfId="0" applyFont="1" applyBorder="1"/>
    <xf numFmtId="0" fontId="10" fillId="2" borderId="10" xfId="0" applyFont="1" applyFill="1" applyBorder="1" applyAlignment="1">
      <alignment horizontal="center" vertical="center" textRotation="90"/>
    </xf>
    <xf numFmtId="166" fontId="5" fillId="0" borderId="51" xfId="0" applyNumberFormat="1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textRotation="90"/>
    </xf>
    <xf numFmtId="168" fontId="5" fillId="0" borderId="39" xfId="0" applyNumberFormat="1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textRotation="90"/>
    </xf>
    <xf numFmtId="173" fontId="5" fillId="0" borderId="34" xfId="1" applyNumberFormat="1" applyFont="1" applyBorder="1"/>
    <xf numFmtId="173" fontId="5" fillId="0" borderId="31" xfId="1" applyNumberFormat="1" applyFont="1" applyBorder="1"/>
    <xf numFmtId="0" fontId="5" fillId="0" borderId="24" xfId="0" applyFont="1" applyBorder="1" applyAlignment="1">
      <alignment horizontal="left" vertical="center" indent="1"/>
    </xf>
    <xf numFmtId="0" fontId="5" fillId="0" borderId="3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4"/>
    </xf>
    <xf numFmtId="0" fontId="5" fillId="0" borderId="34" xfId="0" applyFont="1" applyBorder="1" applyAlignment="1">
      <alignment horizontal="left" vertical="center" indent="4"/>
    </xf>
    <xf numFmtId="0" fontId="5" fillId="0" borderId="0" xfId="0" applyFont="1" applyBorder="1" applyAlignment="1">
      <alignment horizontal="left" indent="1"/>
    </xf>
    <xf numFmtId="0" fontId="5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top" indent="1"/>
    </xf>
    <xf numFmtId="0" fontId="5" fillId="9" borderId="1" xfId="0" applyFont="1" applyFill="1" applyBorder="1" applyAlignment="1">
      <alignment horizontal="left" vertical="center" indent="1"/>
    </xf>
    <xf numFmtId="0" fontId="5" fillId="9" borderId="34" xfId="0" applyFont="1" applyFill="1" applyBorder="1" applyAlignment="1">
      <alignment horizontal="left" vertical="center" indent="1"/>
    </xf>
    <xf numFmtId="166" fontId="5" fillId="0" borderId="8" xfId="0" applyNumberFormat="1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0" xfId="0" applyFill="1" applyBorder="1" applyAlignment="1">
      <alignment horizontal="left" indent="1"/>
    </xf>
    <xf numFmtId="173" fontId="5" fillId="0" borderId="51" xfId="0" applyNumberFormat="1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center" wrapText="1"/>
    </xf>
    <xf numFmtId="173" fontId="5" fillId="3" borderId="39" xfId="1" applyNumberFormat="1" applyFont="1" applyFill="1" applyBorder="1"/>
    <xf numFmtId="173" fontId="5" fillId="3" borderId="31" xfId="1" applyNumberFormat="1" applyFont="1" applyFill="1" applyBorder="1" applyAlignment="1"/>
    <xf numFmtId="173" fontId="5" fillId="3" borderId="28" xfId="1" applyNumberFormat="1" applyFont="1" applyFill="1" applyBorder="1"/>
    <xf numFmtId="0" fontId="26" fillId="0" borderId="0" xfId="0" applyFont="1"/>
    <xf numFmtId="0" fontId="27" fillId="0" borderId="0" xfId="0" applyFont="1"/>
    <xf numFmtId="0" fontId="0" fillId="9" borderId="0" xfId="0" applyFill="1" applyBorder="1" applyAlignment="1">
      <alignment horizontal="center" vertical="center"/>
    </xf>
    <xf numFmtId="0" fontId="0" fillId="9" borderId="0" xfId="0" applyFill="1" applyBorder="1"/>
    <xf numFmtId="170" fontId="0" fillId="9" borderId="0" xfId="0" applyNumberFormat="1" applyFill="1" applyBorder="1"/>
    <xf numFmtId="1" fontId="0" fillId="9" borderId="0" xfId="0" applyNumberFormat="1" applyFill="1" applyBorder="1"/>
    <xf numFmtId="1" fontId="1" fillId="9" borderId="0" xfId="0" applyNumberFormat="1" applyFont="1" applyFill="1" applyBorder="1"/>
    <xf numFmtId="9" fontId="0" fillId="0" borderId="0" xfId="0" applyNumberFormat="1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9" fontId="0" fillId="0" borderId="11" xfId="2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70" fontId="0" fillId="0" borderId="14" xfId="0" applyNumberFormat="1" applyFill="1" applyBorder="1"/>
    <xf numFmtId="1" fontId="0" fillId="0" borderId="0" xfId="0" applyNumberFormat="1" applyFill="1" applyBorder="1"/>
    <xf numFmtId="1" fontId="1" fillId="0" borderId="0" xfId="0" applyNumberFormat="1" applyFont="1" applyFill="1" applyBorder="1"/>
    <xf numFmtId="1" fontId="1" fillId="0" borderId="14" xfId="0" applyNumberFormat="1" applyFont="1" applyFill="1" applyBorder="1"/>
    <xf numFmtId="0" fontId="0" fillId="0" borderId="14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0" xfId="0" applyFill="1"/>
    <xf numFmtId="0" fontId="14" fillId="0" borderId="54" xfId="0" applyFont="1" applyBorder="1" applyAlignment="1">
      <alignment horizontal="left"/>
    </xf>
    <xf numFmtId="0" fontId="0" fillId="0" borderId="48" xfId="0" applyBorder="1"/>
    <xf numFmtId="0" fontId="0" fillId="0" borderId="48" xfId="0" applyFill="1" applyBorder="1"/>
    <xf numFmtId="0" fontId="0" fillId="0" borderId="49" xfId="0" applyFill="1" applyBorder="1"/>
    <xf numFmtId="0" fontId="0" fillId="6" borderId="0" xfId="0" applyFill="1" applyBorder="1"/>
    <xf numFmtId="0" fontId="0" fillId="17" borderId="0" xfId="0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8" fillId="0" borderId="0" xfId="0" applyFont="1"/>
    <xf numFmtId="0" fontId="0" fillId="8" borderId="0" xfId="0" applyFill="1"/>
    <xf numFmtId="0" fontId="29" fillId="0" borderId="0" xfId="0" applyFont="1"/>
    <xf numFmtId="0" fontId="0" fillId="0" borderId="1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14" borderId="13" xfId="0" applyFill="1" applyBorder="1"/>
    <xf numFmtId="0" fontId="0" fillId="14" borderId="0" xfId="0" applyFill="1" applyBorder="1" applyAlignment="1">
      <alignment horizontal="left" vertical="center"/>
    </xf>
    <xf numFmtId="0" fontId="0" fillId="14" borderId="0" xfId="0" applyFill="1" applyBorder="1" applyAlignment="1">
      <alignment horizontal="center" vertical="center"/>
    </xf>
    <xf numFmtId="9" fontId="0" fillId="14" borderId="0" xfId="2" applyFont="1" applyFill="1" applyBorder="1" applyAlignment="1">
      <alignment horizontal="center" vertical="center" wrapText="1"/>
    </xf>
    <xf numFmtId="0" fontId="0" fillId="14" borderId="0" xfId="0" applyFill="1" applyBorder="1" applyAlignment="1">
      <alignment horizontal="center" wrapText="1"/>
    </xf>
    <xf numFmtId="0" fontId="0" fillId="14" borderId="0" xfId="0" applyFill="1" applyBorder="1" applyAlignment="1">
      <alignment horizontal="center" vertical="center" wrapText="1"/>
    </xf>
    <xf numFmtId="0" fontId="0" fillId="14" borderId="14" xfId="0" applyFill="1" applyBorder="1"/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0" xfId="0" applyBorder="1" applyAlignment="1">
      <alignment horizontal="center"/>
    </xf>
    <xf numFmtId="0" fontId="0" fillId="9" borderId="24" xfId="0" applyFill="1" applyBorder="1"/>
    <xf numFmtId="0" fontId="0" fillId="0" borderId="12" xfId="0" applyBorder="1" applyAlignment="1">
      <alignment horizontal="left" indent="1"/>
    </xf>
    <xf numFmtId="170" fontId="3" fillId="9" borderId="37" xfId="3" applyNumberFormat="1" applyFont="1" applyFill="1" applyBorder="1" applyAlignment="1"/>
    <xf numFmtId="0" fontId="24" fillId="12" borderId="0" xfId="0" applyFont="1" applyFill="1" applyBorder="1" applyAlignment="1">
      <alignment horizontal="center" vertical="center"/>
    </xf>
    <xf numFmtId="166" fontId="2" fillId="10" borderId="0" xfId="1" applyNumberFormat="1" applyFont="1" applyFill="1" applyBorder="1" applyAlignment="1">
      <alignment horizontal="right"/>
    </xf>
    <xf numFmtId="166" fontId="5" fillId="0" borderId="0" xfId="0" applyNumberFormat="1" applyFont="1" applyBorder="1" applyAlignment="1">
      <alignment horizontal="left"/>
    </xf>
    <xf numFmtId="9" fontId="5" fillId="0" borderId="0" xfId="2" applyFont="1" applyBorder="1" applyAlignment="1">
      <alignment horizontal="left" vertical="center" wrapText="1"/>
    </xf>
    <xf numFmtId="166" fontId="5" fillId="0" borderId="0" xfId="0" applyNumberFormat="1" applyFont="1" applyBorder="1" applyAlignment="1">
      <alignment horizontal="left" vertical="center"/>
    </xf>
    <xf numFmtId="0" fontId="5" fillId="0" borderId="0" xfId="2" applyNumberFormat="1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166" fontId="5" fillId="0" borderId="0" xfId="0" applyNumberFormat="1" applyFont="1" applyBorder="1" applyAlignment="1">
      <alignment horizontal="left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173" fontId="5" fillId="0" borderId="0" xfId="1" applyNumberFormat="1" applyFont="1" applyBorder="1"/>
    <xf numFmtId="10" fontId="5" fillId="0" borderId="0" xfId="1" applyNumberFormat="1" applyFont="1" applyBorder="1"/>
    <xf numFmtId="173" fontId="5" fillId="3" borderId="0" xfId="1" applyNumberFormat="1" applyFont="1" applyFill="1" applyBorder="1"/>
    <xf numFmtId="173" fontId="5" fillId="3" borderId="0" xfId="1" applyNumberFormat="1" applyFont="1" applyFill="1" applyBorder="1" applyAlignment="1"/>
    <xf numFmtId="173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173" fontId="0" fillId="9" borderId="0" xfId="0" applyNumberFormat="1" applyFill="1" applyBorder="1"/>
    <xf numFmtId="14" fontId="5" fillId="9" borderId="0" xfId="0" applyNumberFormat="1" applyFont="1" applyFill="1" applyBorder="1"/>
    <xf numFmtId="173" fontId="5" fillId="0" borderId="0" xfId="0" applyNumberFormat="1" applyFont="1" applyBorder="1" applyAlignment="1"/>
    <xf numFmtId="17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170" fontId="0" fillId="0" borderId="0" xfId="0" applyNumberFormat="1" applyBorder="1"/>
    <xf numFmtId="9" fontId="0" fillId="0" borderId="14" xfId="0" applyNumberFormat="1" applyBorder="1" applyAlignment="1">
      <alignment horizontal="left" indent="1"/>
    </xf>
    <xf numFmtId="9" fontId="0" fillId="0" borderId="0" xfId="2" applyFont="1"/>
    <xf numFmtId="9" fontId="0" fillId="0" borderId="0" xfId="0" applyNumberFormat="1"/>
    <xf numFmtId="166" fontId="0" fillId="3" borderId="1" xfId="1" applyNumberFormat="1" applyFont="1" applyFill="1" applyBorder="1"/>
    <xf numFmtId="166" fontId="0" fillId="14" borderId="1" xfId="1" applyNumberFormat="1" applyFont="1" applyFill="1" applyBorder="1"/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5" borderId="20" xfId="0" applyFont="1" applyFill="1" applyBorder="1" applyAlignment="1">
      <alignment horizontal="center" vertical="center" textRotation="90" wrapText="1"/>
    </xf>
    <xf numFmtId="0" fontId="4" fillId="5" borderId="26" xfId="0" applyFont="1" applyFill="1" applyBorder="1" applyAlignment="1">
      <alignment horizontal="center" vertical="center" textRotation="90" wrapText="1"/>
    </xf>
    <xf numFmtId="0" fontId="4" fillId="5" borderId="29" xfId="0" applyFont="1" applyFill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0" fillId="2" borderId="20" xfId="0" applyFont="1" applyFill="1" applyBorder="1" applyAlignment="1">
      <alignment horizontal="center" vertical="center" textRotation="90"/>
    </xf>
    <xf numFmtId="0" fontId="10" fillId="2" borderId="26" xfId="0" applyFont="1" applyFill="1" applyBorder="1" applyAlignment="1">
      <alignment horizontal="center" vertical="center" textRotation="90"/>
    </xf>
    <xf numFmtId="0" fontId="10" fillId="2" borderId="32" xfId="0" applyFont="1" applyFill="1" applyBorder="1" applyAlignment="1">
      <alignment horizontal="center" vertical="center" textRotation="90"/>
    </xf>
    <xf numFmtId="0" fontId="2" fillId="2" borderId="3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textRotation="45"/>
    </xf>
    <xf numFmtId="0" fontId="2" fillId="2" borderId="4" xfId="0" applyFont="1" applyFill="1" applyBorder="1" applyAlignment="1">
      <alignment horizontal="center" vertical="center" textRotation="45"/>
    </xf>
    <xf numFmtId="0" fontId="2" fillId="2" borderId="33" xfId="0" applyFont="1" applyFill="1" applyBorder="1" applyAlignment="1">
      <alignment horizontal="center" vertical="center" textRotation="45"/>
    </xf>
    <xf numFmtId="0" fontId="2" fillId="2" borderId="5" xfId="0" applyFont="1" applyFill="1" applyBorder="1" applyAlignment="1">
      <alignment horizontal="center" vertical="center" textRotation="45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center" vertical="top" textRotation="90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6" fontId="1" fillId="0" borderId="6" xfId="3" applyNumberFormat="1" applyFont="1" applyBorder="1" applyAlignment="1">
      <alignment horizontal="center" vertical="center"/>
    </xf>
    <xf numFmtId="166" fontId="1" fillId="0" borderId="2" xfId="3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top" textRotation="90"/>
    </xf>
    <xf numFmtId="0" fontId="2" fillId="2" borderId="4" xfId="0" applyFont="1" applyFill="1" applyBorder="1" applyAlignment="1">
      <alignment horizontal="center" vertical="top" textRotation="90"/>
    </xf>
    <xf numFmtId="0" fontId="2" fillId="2" borderId="5" xfId="0" applyFont="1" applyFill="1" applyBorder="1" applyAlignment="1">
      <alignment horizontal="center" vertical="top" textRotation="90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6" fontId="3" fillId="0" borderId="6" xfId="3" applyNumberFormat="1" applyFont="1" applyBorder="1" applyAlignment="1">
      <alignment horizontal="center" vertical="center"/>
    </xf>
    <xf numFmtId="166" fontId="3" fillId="0" borderId="2" xfId="3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0" fontId="3" fillId="0" borderId="6" xfId="3" applyNumberFormat="1" applyFont="1" applyBorder="1" applyAlignment="1">
      <alignment horizontal="center"/>
    </xf>
    <xf numFmtId="170" fontId="3" fillId="0" borderId="2" xfId="3" applyNumberFormat="1" applyFont="1" applyBorder="1" applyAlignment="1">
      <alignment horizontal="center"/>
    </xf>
    <xf numFmtId="170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9">
    <cellStyle name="Comma" xfId="1" builtinId="3"/>
    <cellStyle name="Comma 2" xfId="3"/>
    <cellStyle name="Comma 3" xfId="6"/>
    <cellStyle name="Comma 4" xfId="7"/>
    <cellStyle name="Comma 5" xfId="8"/>
    <cellStyle name="Hyperlink" xfId="4" builtinId="8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colors>
    <mruColors>
      <color rgb="FFEFA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3" Type="http://schemas.openxmlformats.org/officeDocument/2006/relationships/hyperlink" Target="../SAICPL/ERP/RJMD%20All%20Module/DPR%20REV/Letter%20no%209306%20dated%2003.06.2019%20Tax%20Invoice.pdf" TargetMode="External"/><Relationship Id="rId18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../SAICPL/ERP/RJMD%20All%20Module/DPR%20REV/Letter%20no%209306%20dated%2003.06.2019%20Tax%20Invoice.pdf" TargetMode="External"/><Relationship Id="rId21" Type="http://schemas.openxmlformats.org/officeDocument/2006/relationships/hyperlink" Target="../SAICPL/ERP/RJMD%20All%20Module/DPR%20REV/Letter%20no%209306%20dated%2003.06.2019%20Tax%20Invoice.pdf" TargetMode="External"/><Relationship Id="rId7" Type="http://schemas.openxmlformats.org/officeDocument/2006/relationships/hyperlink" Target="../SAICPL/ERP/RJMD%20All%20Module/DPR%20REV/Letter%20no%209306%20dated%2003.06.2019%20Tax%20Invoice.pdf" TargetMode="External"/><Relationship Id="rId12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7" Type="http://schemas.openxmlformats.org/officeDocument/2006/relationships/hyperlink" Target="../SAICPL/ERP/RJMD%20All%20Module/DPR%20REV/Letter%20no%209306%20dated%2003.06.2019%20Tax%20Invoice.pdf" TargetMode="External"/><Relationship Id="rId25" Type="http://schemas.openxmlformats.org/officeDocument/2006/relationships/hyperlink" Target="../SAICPL/ERP/RJMD%20All%20Module/DPR%20REV/Letter%20no%209306%20dated%2003.06.2019%20Tax%20Invoice.pdf" TargetMode="External"/><Relationship Id="rId2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6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20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" Type="http://schemas.openxmlformats.org/officeDocument/2006/relationships/hyperlink" Target="../SAICPL/ERP/RJMD%20All%20Module/DPR%20REV/Letter%20no%209306%20dated%2003.06.2019%20Tax%20Invoice.pdf" TargetMode="External"/><Relationship Id="rId6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1" Type="http://schemas.openxmlformats.org/officeDocument/2006/relationships/hyperlink" Target="../SAICPL/ERP/RJMD%20All%20Module/DPR%20REV/Letter%20no%209306%20dated%2003.06.2019%20Tax%20Invoice.pdf" TargetMode="External"/><Relationship Id="rId24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5" Type="http://schemas.openxmlformats.org/officeDocument/2006/relationships/hyperlink" Target="../SAICPL/ERP/RJMD%20All%20Module/DPR%20REV/Letter%20no%209306%20dated%2003.06.2019%20Tax%20Invoice.pdf" TargetMode="External"/><Relationship Id="rId15" Type="http://schemas.openxmlformats.org/officeDocument/2006/relationships/hyperlink" Target="../SAICPL/ERP/RJMD%20All%20Module/DPR%20REV/Letter%20no%209306%20dated%2003.06.2019%20Tax%20Invoice.pdf" TargetMode="External"/><Relationship Id="rId23" Type="http://schemas.openxmlformats.org/officeDocument/2006/relationships/hyperlink" Target="../SAICPL/ERP/RJMD%20All%20Module/DPR%20REV/Letter%20no%209306%20dated%2003.06.2019%20Tax%20Invoice.pdf" TargetMode="External"/><Relationship Id="rId10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9" Type="http://schemas.openxmlformats.org/officeDocument/2006/relationships/hyperlink" Target="../SAICPL/ERP/RJMD%20All%20Module/DPR%20REV/Letter%20no%209306%20dated%2003.06.2019%20Tax%20Invoice.pdf" TargetMode="External"/><Relationship Id="rId4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9" Type="http://schemas.openxmlformats.org/officeDocument/2006/relationships/hyperlink" Target="../SAICPL/ERP/RJMD%20All%20Module/DPR%20REV/Letter%20no%209306%20dated%2003.06.2019%20Tax%20Invoice.pdf" TargetMode="External"/><Relationship Id="rId14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22" Type="http://schemas.openxmlformats.org/officeDocument/2006/relationships/hyperlink" Target="file:///\\10.203.15.102\common\Tashiv\LOT-6-PKG-6\2018\7398%20dated%2015.05.2018-Tax%20Invoice%20(Final%20QAP%20&amp;%20Inception%20Report)-Aslam%20mad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3" Type="http://schemas.openxmlformats.org/officeDocument/2006/relationships/hyperlink" Target="../SAICPL/ERP/RJMD%20All%20Module/DPR%20REV/Letter%20no%209306%20dated%2003.06.2019%20Tax%20Invoice.pdf" TargetMode="External"/><Relationship Id="rId18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../SAICPL/ERP/RJMD%20All%20Module/DPR%20REV/Letter%20no%209306%20dated%2003.06.2019%20Tax%20Invoice.pdf" TargetMode="External"/><Relationship Id="rId21" Type="http://schemas.openxmlformats.org/officeDocument/2006/relationships/hyperlink" Target="../SAICPL/ERP/RJMD%20All%20Module/DPR%20REV/Letter%20no%209306%20dated%2003.06.2019%20Tax%20Invoice.pdf" TargetMode="External"/><Relationship Id="rId7" Type="http://schemas.openxmlformats.org/officeDocument/2006/relationships/hyperlink" Target="../SAICPL/ERP/RJMD%20All%20Module/DPR%20REV/Letter%20no%209306%20dated%2003.06.2019%20Tax%20Invoice.pdf" TargetMode="External"/><Relationship Id="rId12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7" Type="http://schemas.openxmlformats.org/officeDocument/2006/relationships/hyperlink" Target="../SAICPL/ERP/RJMD%20All%20Module/DPR%20REV/Letter%20no%209306%20dated%2003.06.2019%20Tax%20Invoice.pdf" TargetMode="External"/><Relationship Id="rId25" Type="http://schemas.openxmlformats.org/officeDocument/2006/relationships/hyperlink" Target="../SAICPL/ERP/RJMD%20All%20Module/DPR%20REV/Letter%20no%209306%20dated%2003.06.2019%20Tax%20Invoice.pdf" TargetMode="External"/><Relationship Id="rId2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6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20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" Type="http://schemas.openxmlformats.org/officeDocument/2006/relationships/hyperlink" Target="../SAICPL/ERP/RJMD%20All%20Module/DPR%20REV/Letter%20no%209306%20dated%2003.06.2019%20Tax%20Invoice.pdf" TargetMode="External"/><Relationship Id="rId6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1" Type="http://schemas.openxmlformats.org/officeDocument/2006/relationships/hyperlink" Target="../SAICPL/ERP/RJMD%20All%20Module/DPR%20REV/Letter%20no%209306%20dated%2003.06.2019%20Tax%20Invoice.pdf" TargetMode="External"/><Relationship Id="rId24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5" Type="http://schemas.openxmlformats.org/officeDocument/2006/relationships/hyperlink" Target="../SAICPL/ERP/RJMD%20All%20Module/DPR%20REV/Letter%20no%209306%20dated%2003.06.2019%20Tax%20Invoice.pdf" TargetMode="External"/><Relationship Id="rId15" Type="http://schemas.openxmlformats.org/officeDocument/2006/relationships/hyperlink" Target="../SAICPL/ERP/RJMD%20All%20Module/DPR%20REV/Letter%20no%209306%20dated%2003.06.2019%20Tax%20Invoice.pdf" TargetMode="External"/><Relationship Id="rId23" Type="http://schemas.openxmlformats.org/officeDocument/2006/relationships/hyperlink" Target="../SAICPL/ERP/RJMD%20All%20Module/DPR%20REV/Letter%20no%209306%20dated%2003.06.2019%20Tax%20Invoice.pdf" TargetMode="External"/><Relationship Id="rId10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19" Type="http://schemas.openxmlformats.org/officeDocument/2006/relationships/hyperlink" Target="../SAICPL/ERP/RJMD%20All%20Module/DPR%20REV/Letter%20no%209306%20dated%2003.06.2019%20Tax%20Invoice.pdf" TargetMode="External"/><Relationship Id="rId4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9" Type="http://schemas.openxmlformats.org/officeDocument/2006/relationships/hyperlink" Target="../SAICPL/ERP/RJMD%20All%20Module/DPR%20REV/Letter%20no%209306%20dated%2003.06.2019%20Tax%20Invoice.pdf" TargetMode="External"/><Relationship Id="rId14" Type="http://schemas.openxmlformats.org/officeDocument/2006/relationships/hyperlink" Target="file:///\\10.203.15.102\common\Tashiv\LOT-6-PKG-6\2018\7398%20dated%2015.05.2018-Tax%20Invoice%20(Final%20QAP%20&amp;%20Inception%20Report)-Aslam%20made.pdf" TargetMode="External"/><Relationship Id="rId22" Type="http://schemas.openxmlformats.org/officeDocument/2006/relationships/hyperlink" Target="file:///\\10.203.15.102\common\Tashiv\LOT-6-PKG-6\2018\7398%20dated%2015.05.2018-Tax%20Invoice%20(Final%20QAP%20&amp;%20Inception%20Report)-Aslam%20ma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2"/>
  <sheetViews>
    <sheetView topLeftCell="B1" zoomScale="85" zoomScaleNormal="85" workbookViewId="0">
      <selection activeCell="D31" sqref="D31:D59"/>
    </sheetView>
  </sheetViews>
  <sheetFormatPr defaultColWidth="9.140625" defaultRowHeight="15.75" x14ac:dyDescent="0.25"/>
  <cols>
    <col min="1" max="1" width="12.7109375" style="43" customWidth="1"/>
    <col min="2" max="2" width="12" style="41" customWidth="1"/>
    <col min="3" max="3" width="21.5703125" style="40" customWidth="1"/>
    <col min="4" max="4" width="24" style="40" customWidth="1"/>
    <col min="5" max="9" width="14.42578125" style="10" customWidth="1"/>
    <col min="10" max="10" width="14.5703125" style="10" customWidth="1"/>
    <col min="11" max="11" width="14.140625" style="10" customWidth="1"/>
    <col min="12" max="12" width="11.140625" style="10" customWidth="1"/>
    <col min="13" max="16384" width="9.140625" style="10"/>
  </cols>
  <sheetData>
    <row r="1" spans="1:29" ht="26.25" x14ac:dyDescent="0.25">
      <c r="A1" s="511" t="s">
        <v>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</row>
    <row r="2" spans="1:29" ht="16.5" thickBot="1" x14ac:dyDescent="0.3">
      <c r="A2" s="7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29" s="19" customFormat="1" x14ac:dyDescent="0.25">
      <c r="A3" s="512" t="s">
        <v>68</v>
      </c>
      <c r="B3" s="225" t="s">
        <v>5</v>
      </c>
      <c r="C3" s="146"/>
      <c r="D3" s="147"/>
      <c r="E3" s="515" t="s">
        <v>144</v>
      </c>
      <c r="F3" s="516"/>
      <c r="G3" s="516"/>
      <c r="H3" s="516"/>
      <c r="I3" s="516"/>
      <c r="J3" s="517"/>
      <c r="K3" s="148" t="s">
        <v>83</v>
      </c>
      <c r="L3" s="508" t="s">
        <v>149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513"/>
      <c r="B4" s="226" t="s">
        <v>69</v>
      </c>
      <c r="C4" s="133"/>
      <c r="D4" s="134"/>
      <c r="E4" s="518">
        <v>5</v>
      </c>
      <c r="F4" s="519"/>
      <c r="G4" s="519"/>
      <c r="H4" s="519"/>
      <c r="I4" s="519"/>
      <c r="J4" s="520"/>
      <c r="K4" s="90">
        <v>1</v>
      </c>
      <c r="L4" s="50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513"/>
      <c r="B5" s="226" t="s">
        <v>70</v>
      </c>
      <c r="C5" s="133"/>
      <c r="D5" s="134"/>
      <c r="E5" s="90" t="s">
        <v>121</v>
      </c>
      <c r="F5" s="90" t="s">
        <v>122</v>
      </c>
      <c r="G5" s="90" t="s">
        <v>123</v>
      </c>
      <c r="H5" s="90" t="s">
        <v>124</v>
      </c>
      <c r="I5" s="90" t="s">
        <v>125</v>
      </c>
      <c r="J5" s="90"/>
      <c r="K5" s="11" t="s">
        <v>83</v>
      </c>
      <c r="L5" s="50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513"/>
      <c r="B6" s="226" t="s">
        <v>150</v>
      </c>
      <c r="C6" s="133"/>
      <c r="D6" s="134"/>
      <c r="E6" s="90">
        <v>13.9</v>
      </c>
      <c r="F6" s="90">
        <v>22</v>
      </c>
      <c r="G6" s="90">
        <v>15.4</v>
      </c>
      <c r="H6" s="90">
        <v>20.100000000000001</v>
      </c>
      <c r="I6" s="90">
        <v>28.6</v>
      </c>
      <c r="J6" s="90"/>
      <c r="K6" s="90"/>
      <c r="L6" s="5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513"/>
      <c r="B7" s="226" t="s">
        <v>75</v>
      </c>
      <c r="C7" s="133"/>
      <c r="D7" s="134"/>
      <c r="E7" s="12">
        <f>SUM(E6:I6)</f>
        <v>100</v>
      </c>
      <c r="F7" s="12"/>
      <c r="G7" s="12"/>
      <c r="H7" s="12"/>
      <c r="I7" s="12"/>
      <c r="J7" s="90"/>
      <c r="K7" s="90"/>
      <c r="L7" s="14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5">
      <c r="A8" s="513"/>
      <c r="B8" s="226" t="s">
        <v>74</v>
      </c>
      <c r="C8" s="133"/>
      <c r="D8" s="134"/>
      <c r="E8" s="140">
        <f>($I20/$E$7)*E6</f>
        <v>7962170.2000000002</v>
      </c>
      <c r="F8" s="140">
        <f t="shared" ref="F8:I8" si="0">($I20/$E$7)*F6</f>
        <v>12601996</v>
      </c>
      <c r="G8" s="140">
        <f t="shared" si="0"/>
        <v>8821397.2000000011</v>
      </c>
      <c r="H8" s="140">
        <f t="shared" si="0"/>
        <v>11513641.800000001</v>
      </c>
      <c r="I8" s="140">
        <f t="shared" si="0"/>
        <v>16382594.800000001</v>
      </c>
      <c r="J8" s="140"/>
      <c r="K8" s="45"/>
      <c r="L8" s="14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58" customFormat="1" x14ac:dyDescent="0.25">
      <c r="A9" s="514"/>
      <c r="B9" s="227" t="s">
        <v>86</v>
      </c>
      <c r="C9" s="135"/>
      <c r="D9" s="136"/>
      <c r="E9" s="128">
        <v>42091</v>
      </c>
      <c r="F9" s="129"/>
      <c r="G9" s="129"/>
      <c r="H9" s="129"/>
      <c r="I9" s="130"/>
      <c r="J9" s="141"/>
      <c r="K9" s="56"/>
      <c r="L9" s="150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</row>
    <row r="10" spans="1:29" x14ac:dyDescent="0.25">
      <c r="A10" s="521" t="s">
        <v>73</v>
      </c>
      <c r="B10" s="228" t="s">
        <v>27</v>
      </c>
      <c r="C10" s="131"/>
      <c r="D10" s="132"/>
      <c r="E10" s="96"/>
      <c r="F10" s="96"/>
      <c r="G10" s="96"/>
      <c r="H10" s="96"/>
      <c r="I10" s="95">
        <v>15204000</v>
      </c>
      <c r="J10" s="140"/>
      <c r="K10" s="45"/>
      <c r="L10" s="14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521"/>
      <c r="B11" s="228" t="s">
        <v>29</v>
      </c>
      <c r="C11" s="131"/>
      <c r="D11" s="132"/>
      <c r="E11" s="96"/>
      <c r="F11" s="96"/>
      <c r="G11" s="96"/>
      <c r="H11" s="96"/>
      <c r="I11" s="95">
        <v>21369600</v>
      </c>
      <c r="J11" s="12"/>
      <c r="K11" s="12"/>
      <c r="L11" s="14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521"/>
      <c r="B12" s="228" t="s">
        <v>32</v>
      </c>
      <c r="C12" s="131"/>
      <c r="D12" s="132"/>
      <c r="E12" s="96"/>
      <c r="F12" s="96"/>
      <c r="G12" s="96"/>
      <c r="H12" s="96"/>
      <c r="I12" s="95">
        <v>100000</v>
      </c>
      <c r="J12" s="12"/>
      <c r="K12" s="12"/>
      <c r="L12" s="14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1" customFormat="1" x14ac:dyDescent="0.25">
      <c r="A13" s="521"/>
      <c r="B13" s="228" t="s">
        <v>33</v>
      </c>
      <c r="C13" s="131"/>
      <c r="D13" s="132"/>
      <c r="E13" s="96"/>
      <c r="F13" s="96"/>
      <c r="G13" s="96"/>
      <c r="H13" s="96"/>
      <c r="I13" s="95">
        <v>500000</v>
      </c>
      <c r="J13" s="12"/>
      <c r="K13" s="12"/>
      <c r="L13" s="149"/>
    </row>
    <row r="14" spans="1:29" x14ac:dyDescent="0.25">
      <c r="A14" s="521"/>
      <c r="B14" s="228" t="s">
        <v>34</v>
      </c>
      <c r="C14" s="131"/>
      <c r="D14" s="132"/>
      <c r="E14" s="96"/>
      <c r="F14" s="96"/>
      <c r="G14" s="96"/>
      <c r="H14" s="96"/>
      <c r="I14" s="95">
        <v>200000</v>
      </c>
      <c r="J14" s="12"/>
      <c r="K14" s="12"/>
      <c r="L14" s="15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521"/>
      <c r="B15" s="228" t="s">
        <v>35</v>
      </c>
      <c r="C15" s="131"/>
      <c r="D15" s="132"/>
      <c r="E15" s="96"/>
      <c r="F15" s="96"/>
      <c r="G15" s="96"/>
      <c r="H15" s="96"/>
      <c r="I15" s="95">
        <v>1000000</v>
      </c>
      <c r="J15" s="12"/>
      <c r="K15" s="12"/>
      <c r="L15" s="15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s="16" customFormat="1" x14ac:dyDescent="0.25">
      <c r="A16" s="521"/>
      <c r="B16" s="228" t="s">
        <v>36</v>
      </c>
      <c r="C16" s="131"/>
      <c r="D16" s="132"/>
      <c r="E16" s="96"/>
      <c r="F16" s="96"/>
      <c r="G16" s="96"/>
      <c r="H16" s="96"/>
      <c r="I16" s="95">
        <v>19000000</v>
      </c>
      <c r="J16" s="142"/>
      <c r="K16" s="35"/>
      <c r="L16" s="152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s="19" customFormat="1" x14ac:dyDescent="0.25">
      <c r="A17" s="521"/>
      <c r="B17" s="228" t="s">
        <v>39</v>
      </c>
      <c r="C17" s="131"/>
      <c r="D17" s="132"/>
      <c r="E17" s="96"/>
      <c r="F17" s="96"/>
      <c r="G17" s="96"/>
      <c r="H17" s="96"/>
      <c r="I17" s="95">
        <v>20000</v>
      </c>
      <c r="J17" s="143"/>
      <c r="K17" s="36"/>
      <c r="L17" s="153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"/>
    </row>
    <row r="18" spans="1:29" x14ac:dyDescent="0.25">
      <c r="A18" s="521"/>
      <c r="B18" s="228" t="s">
        <v>112</v>
      </c>
      <c r="C18" s="131"/>
      <c r="D18" s="132"/>
      <c r="E18" s="96"/>
      <c r="F18" s="96"/>
      <c r="G18" s="96"/>
      <c r="H18" s="96"/>
      <c r="I18" s="95">
        <v>160000</v>
      </c>
      <c r="J18" s="144"/>
      <c r="K18" s="37"/>
      <c r="L18" s="15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5"/>
    </row>
    <row r="19" spans="1:29" x14ac:dyDescent="0.25">
      <c r="A19" s="521"/>
      <c r="B19" s="228" t="s">
        <v>145</v>
      </c>
      <c r="C19" s="131"/>
      <c r="D19" s="132"/>
      <c r="E19" s="96"/>
      <c r="F19" s="96"/>
      <c r="G19" s="96"/>
      <c r="H19" s="96"/>
      <c r="I19" s="95">
        <v>-271800</v>
      </c>
      <c r="J19" s="144"/>
      <c r="K19" s="37"/>
      <c r="L19" s="154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"/>
    </row>
    <row r="20" spans="1:29" s="19" customFormat="1" x14ac:dyDescent="0.25">
      <c r="A20" s="521"/>
      <c r="B20" s="229" t="s">
        <v>40</v>
      </c>
      <c r="C20" s="137"/>
      <c r="D20" s="138"/>
      <c r="E20" s="98"/>
      <c r="F20" s="98"/>
      <c r="G20" s="98"/>
      <c r="H20" s="98"/>
      <c r="I20" s="97">
        <f>SUM(I10:I19)</f>
        <v>57281800</v>
      </c>
      <c r="J20" s="143"/>
      <c r="K20" s="36"/>
      <c r="L20" s="154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"/>
    </row>
    <row r="21" spans="1:29" x14ac:dyDescent="0.25">
      <c r="A21" s="521" t="s">
        <v>76</v>
      </c>
      <c r="B21" s="230" t="s">
        <v>90</v>
      </c>
      <c r="C21" s="216"/>
      <c r="D21" s="217"/>
      <c r="E21" s="218" t="str">
        <f>E5</f>
        <v>Package 1</v>
      </c>
      <c r="F21" s="218" t="str">
        <f t="shared" ref="F21:I21" si="1">F5</f>
        <v>Package 2</v>
      </c>
      <c r="G21" s="218" t="str">
        <f t="shared" si="1"/>
        <v>Package 3</v>
      </c>
      <c r="H21" s="218" t="str">
        <f t="shared" si="1"/>
        <v>Package 4</v>
      </c>
      <c r="I21" s="218" t="str">
        <f t="shared" si="1"/>
        <v>Package 5</v>
      </c>
      <c r="J21" s="143"/>
      <c r="K21" s="36"/>
      <c r="L21" s="15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521"/>
      <c r="B22" s="228" t="s">
        <v>64</v>
      </c>
      <c r="C22" s="131"/>
      <c r="D22" s="132"/>
      <c r="E22" s="99">
        <v>23</v>
      </c>
      <c r="F22" s="99">
        <v>40</v>
      </c>
      <c r="G22" s="99">
        <v>120</v>
      </c>
      <c r="H22" s="99">
        <v>50</v>
      </c>
      <c r="I22" s="99">
        <v>90</v>
      </c>
      <c r="J22" s="143"/>
      <c r="K22" s="36"/>
      <c r="L22" s="154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x14ac:dyDescent="0.25">
      <c r="A23" s="521"/>
      <c r="B23" s="231" t="s">
        <v>77</v>
      </c>
      <c r="C23" s="219"/>
      <c r="D23" s="220"/>
      <c r="E23" s="221">
        <v>2</v>
      </c>
      <c r="F23" s="221">
        <v>2</v>
      </c>
      <c r="G23" s="221">
        <v>2</v>
      </c>
      <c r="H23" s="221">
        <v>2</v>
      </c>
      <c r="I23" s="221">
        <v>2</v>
      </c>
      <c r="J23" s="143"/>
      <c r="K23" s="36"/>
      <c r="L23" s="15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521"/>
      <c r="B24" s="228" t="s">
        <v>65</v>
      </c>
      <c r="C24" s="131"/>
      <c r="D24" s="132"/>
      <c r="E24" s="139">
        <f>IF(OR(E$23&lt;E$23),IF(E$22&lt;E$6*0.9,E$22+0.1*E$6,IF(E$22&gt;1.1*E$6,E$22-0.1*E$6,E$6)),0)</f>
        <v>0</v>
      </c>
      <c r="F24" s="139">
        <f t="shared" ref="F24:I24" si="2">IF(OR(F$23&lt;F$23),IF(F$22&lt;F$6*0.9,F$22+0.1*F$6,IF(F$22&gt;1.1*F$6,F$22-0.1*F$6,F$6)),0)</f>
        <v>0</v>
      </c>
      <c r="G24" s="139">
        <f t="shared" si="2"/>
        <v>0</v>
      </c>
      <c r="H24" s="139">
        <f t="shared" si="2"/>
        <v>0</v>
      </c>
      <c r="I24" s="139">
        <f t="shared" si="2"/>
        <v>0</v>
      </c>
      <c r="J24" s="143"/>
      <c r="K24" s="36"/>
      <c r="L24" s="154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x14ac:dyDescent="0.25">
      <c r="A25" s="521"/>
      <c r="B25" s="232" t="s">
        <v>66</v>
      </c>
      <c r="C25" s="222"/>
      <c r="D25" s="223"/>
      <c r="E25" s="224"/>
      <c r="F25" s="224"/>
      <c r="G25" s="224"/>
      <c r="H25" s="224"/>
      <c r="I25" s="224">
        <v>0</v>
      </c>
      <c r="J25" s="143"/>
      <c r="K25" s="36"/>
      <c r="L25" s="154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ht="34.5" customHeight="1" thickBot="1" x14ac:dyDescent="0.3">
      <c r="A26" s="155"/>
      <c r="B26" s="156"/>
      <c r="C26" s="157"/>
      <c r="D26" s="157"/>
      <c r="E26" s="158"/>
      <c r="F26" s="158"/>
      <c r="G26" s="158"/>
      <c r="H26" s="158"/>
      <c r="I26" s="158"/>
      <c r="J26" s="158"/>
      <c r="K26" s="159"/>
      <c r="L26" s="160">
        <f>I20/I31</f>
        <v>3.4965034965034962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29" ht="34.5" customHeight="1" thickBot="1" x14ac:dyDescent="0.3">
      <c r="A27" s="44"/>
      <c r="B27" s="50"/>
      <c r="C27" s="47"/>
      <c r="D27" s="47"/>
      <c r="E27" s="42"/>
      <c r="F27" s="42"/>
      <c r="G27" s="42"/>
      <c r="H27" s="42"/>
      <c r="I27" s="42"/>
      <c r="J27" s="42"/>
      <c r="L27" s="161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29" ht="23.25" x14ac:dyDescent="0.25">
      <c r="A28" s="188" t="s">
        <v>80</v>
      </c>
      <c r="B28" s="187" t="s">
        <v>81</v>
      </c>
      <c r="C28" s="166"/>
      <c r="D28" s="167"/>
      <c r="E28" s="168"/>
      <c r="F28" s="168"/>
      <c r="G28" s="168"/>
      <c r="H28" s="168"/>
      <c r="I28" s="168"/>
      <c r="J28" s="168"/>
      <c r="K28" s="168"/>
      <c r="L28" s="169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"/>
    </row>
    <row r="29" spans="1:29" x14ac:dyDescent="0.25">
      <c r="A29" s="170"/>
      <c r="B29" s="208"/>
      <c r="C29" s="197" t="str">
        <f>B5</f>
        <v>Name of stretches</v>
      </c>
      <c r="D29" s="198"/>
      <c r="E29" s="199" t="str">
        <f>E5</f>
        <v>Package 1</v>
      </c>
      <c r="F29" s="199" t="str">
        <f t="shared" ref="F29:I29" si="3">F5</f>
        <v>Package 2</v>
      </c>
      <c r="G29" s="199" t="str">
        <f t="shared" si="3"/>
        <v>Package 3</v>
      </c>
      <c r="H29" s="199" t="str">
        <f t="shared" si="3"/>
        <v>Package 4</v>
      </c>
      <c r="I29" s="199" t="str">
        <f t="shared" si="3"/>
        <v>Package 5</v>
      </c>
      <c r="J29" s="200" t="s">
        <v>119</v>
      </c>
      <c r="K29" s="201"/>
      <c r="L29" s="20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"/>
    </row>
    <row r="30" spans="1:29" ht="15.75" customHeight="1" x14ac:dyDescent="0.25">
      <c r="A30" s="170"/>
      <c r="B30" s="207"/>
      <c r="C30" s="195" t="s">
        <v>7</v>
      </c>
      <c r="D30" s="203"/>
      <c r="E30" s="196">
        <f>E24+IF(E23=1,E22,E24)</f>
        <v>0</v>
      </c>
      <c r="F30" s="196">
        <f t="shared" ref="F30:I30" si="4">F24+IF(F23=1,F22,F24)</f>
        <v>0</v>
      </c>
      <c r="G30" s="196">
        <f t="shared" si="4"/>
        <v>0</v>
      </c>
      <c r="H30" s="196">
        <f t="shared" si="4"/>
        <v>0</v>
      </c>
      <c r="I30" s="196">
        <f t="shared" si="4"/>
        <v>0</v>
      </c>
      <c r="J30" s="204">
        <f>J22</f>
        <v>0</v>
      </c>
      <c r="K30" s="205"/>
      <c r="L30" s="206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"/>
    </row>
    <row r="31" spans="1:29" ht="19.5" thickBot="1" x14ac:dyDescent="0.3">
      <c r="A31" s="170"/>
      <c r="B31" s="209"/>
      <c r="C31" s="210" t="s">
        <v>6</v>
      </c>
      <c r="D31" s="211"/>
      <c r="E31" s="212">
        <f>E8</f>
        <v>7962170.2000000002</v>
      </c>
      <c r="F31" s="212">
        <f t="shared" ref="F31:I31" si="5">F8</f>
        <v>12601996</v>
      </c>
      <c r="G31" s="212">
        <f t="shared" si="5"/>
        <v>8821397.2000000011</v>
      </c>
      <c r="H31" s="212">
        <f t="shared" si="5"/>
        <v>11513641.800000001</v>
      </c>
      <c r="I31" s="212">
        <f t="shared" si="5"/>
        <v>16382594.800000001</v>
      </c>
      <c r="J31" s="213"/>
      <c r="K31" s="214"/>
      <c r="L31" s="215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"/>
    </row>
    <row r="32" spans="1:29" x14ac:dyDescent="0.25">
      <c r="A32" s="522" t="s">
        <v>78</v>
      </c>
      <c r="B32" s="523" t="s">
        <v>165</v>
      </c>
      <c r="C32" s="526" t="s">
        <v>45</v>
      </c>
      <c r="D32" s="190" t="s">
        <v>91</v>
      </c>
      <c r="E32" s="191"/>
      <c r="F32" s="191" t="s">
        <v>148</v>
      </c>
      <c r="G32" s="191"/>
      <c r="H32" s="191" t="s">
        <v>148</v>
      </c>
      <c r="I32" s="191" t="s">
        <v>148</v>
      </c>
      <c r="J32" s="192"/>
      <c r="K32" s="246" t="s">
        <v>170</v>
      </c>
      <c r="L32" s="169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"/>
    </row>
    <row r="33" spans="1:29" x14ac:dyDescent="0.25">
      <c r="A33" s="522"/>
      <c r="B33" s="524"/>
      <c r="C33" s="527"/>
      <c r="D33" s="247" t="s">
        <v>88</v>
      </c>
      <c r="E33" s="15"/>
      <c r="F33" s="27">
        <f>+(10+10+25)%</f>
        <v>0.45</v>
      </c>
      <c r="G33" s="27"/>
      <c r="H33" s="27">
        <f>+(10+10+25)%</f>
        <v>0.45</v>
      </c>
      <c r="I33" s="27">
        <f>+(10+10+25)%</f>
        <v>0.45</v>
      </c>
      <c r="J33" s="37"/>
      <c r="K33" t="s">
        <v>171</v>
      </c>
      <c r="L33" s="17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"/>
    </row>
    <row r="34" spans="1:29" x14ac:dyDescent="0.25">
      <c r="A34" s="522"/>
      <c r="B34" s="524"/>
      <c r="C34" s="527"/>
      <c r="D34" s="51" t="s">
        <v>46</v>
      </c>
      <c r="E34" s="76">
        <f>E31*E33</f>
        <v>0</v>
      </c>
      <c r="F34" s="13">
        <f t="shared" ref="F34:I34" si="6">F31*F33</f>
        <v>5670898.2000000002</v>
      </c>
      <c r="G34" s="13">
        <f t="shared" si="6"/>
        <v>0</v>
      </c>
      <c r="H34" s="13">
        <f t="shared" si="6"/>
        <v>5181138.8100000005</v>
      </c>
      <c r="I34" s="13">
        <f t="shared" si="6"/>
        <v>7372167.6600000001</v>
      </c>
      <c r="J34" s="37"/>
      <c r="K34" s="193"/>
      <c r="L34" s="171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"/>
    </row>
    <row r="35" spans="1:29" s="54" customFormat="1" x14ac:dyDescent="0.25">
      <c r="A35" s="522"/>
      <c r="B35" s="524"/>
      <c r="C35" s="527"/>
      <c r="D35" s="66" t="s">
        <v>84</v>
      </c>
      <c r="E35" s="53">
        <v>30</v>
      </c>
      <c r="F35" s="53">
        <v>31</v>
      </c>
      <c r="G35" s="53">
        <v>32</v>
      </c>
      <c r="H35" s="53">
        <v>33</v>
      </c>
      <c r="I35" s="53">
        <v>34</v>
      </c>
      <c r="J35" s="63"/>
      <c r="K35" s="194" t="s">
        <v>147</v>
      </c>
      <c r="L35" s="172"/>
      <c r="AC35" s="55"/>
    </row>
    <row r="36" spans="1:29" x14ac:dyDescent="0.25">
      <c r="A36" s="522"/>
      <c r="B36" s="524"/>
      <c r="C36" s="528"/>
      <c r="D36" s="66" t="s">
        <v>85</v>
      </c>
      <c r="E36" s="59">
        <f>$E$9+E35</f>
        <v>42121</v>
      </c>
      <c r="F36" s="59">
        <f t="shared" ref="F36:I36" si="7">$E$9+F35</f>
        <v>42122</v>
      </c>
      <c r="G36" s="59">
        <f t="shared" si="7"/>
        <v>42123</v>
      </c>
      <c r="H36" s="59">
        <f t="shared" si="7"/>
        <v>42124</v>
      </c>
      <c r="I36" s="59">
        <f t="shared" si="7"/>
        <v>42125</v>
      </c>
      <c r="J36" s="37"/>
      <c r="K36" s="193"/>
      <c r="L36" s="171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"/>
    </row>
    <row r="37" spans="1:29" x14ac:dyDescent="0.25">
      <c r="A37" s="522"/>
      <c r="B37" s="524"/>
      <c r="C37" s="529" t="s">
        <v>47</v>
      </c>
      <c r="D37" s="75" t="s">
        <v>93</v>
      </c>
      <c r="E37" s="100">
        <f>IF(OR(E$23&gt;E32),IF(E$22&lt;E$6*0.9,E$22+0.1*E$6,IF(E$22&gt;1.1*E$6,E$22-0.1*E$6,E$6)),E$6)</f>
        <v>21.61</v>
      </c>
      <c r="F37" s="100">
        <f t="shared" ref="F37:I37" si="8">IF(OR(F$23&gt;F32),IF(F$22&lt;F$6*0.9,F$22+0.1*F$6,IF(F$22&gt;1.1*F$6,F$22-0.1*F$6,F$6)),F$6)</f>
        <v>22</v>
      </c>
      <c r="G37" s="100">
        <f t="shared" si="8"/>
        <v>118.46</v>
      </c>
      <c r="H37" s="100">
        <f t="shared" si="8"/>
        <v>20.100000000000001</v>
      </c>
      <c r="I37" s="100">
        <f t="shared" si="8"/>
        <v>28.6</v>
      </c>
      <c r="J37" s="37"/>
      <c r="K37" s="193" t="s">
        <v>151</v>
      </c>
      <c r="L37" s="171"/>
      <c r="M37" s="22"/>
      <c r="N37" s="22"/>
      <c r="O37" s="22"/>
      <c r="P37" s="22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x14ac:dyDescent="0.25">
      <c r="A38" s="522"/>
      <c r="B38" s="524"/>
      <c r="C38" s="527"/>
      <c r="D38" s="75" t="s">
        <v>92</v>
      </c>
      <c r="E38" s="27"/>
      <c r="F38" s="27">
        <f>+(10+10+25)%</f>
        <v>0.45</v>
      </c>
      <c r="G38" s="27"/>
      <c r="H38" s="27">
        <f>+(10+10+25)%</f>
        <v>0.45</v>
      </c>
      <c r="I38" s="27">
        <f>+(10+10+25)%</f>
        <v>0.45</v>
      </c>
      <c r="J38" s="37"/>
      <c r="K38" s="193"/>
      <c r="L38" s="171"/>
      <c r="M38" s="22"/>
      <c r="N38" s="22"/>
      <c r="O38" s="22"/>
      <c r="P38" s="22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31.5" x14ac:dyDescent="0.25">
      <c r="A39" s="522"/>
      <c r="B39" s="524"/>
      <c r="C39" s="527"/>
      <c r="D39" s="20" t="s">
        <v>55</v>
      </c>
      <c r="E39" s="21">
        <f t="shared" ref="E39" si="9">E$31/E$6*E37*E38</f>
        <v>0</v>
      </c>
      <c r="F39" s="21">
        <f t="shared" ref="F39" si="10">F$31/F$6*F37*F38</f>
        <v>5670898.2000000002</v>
      </c>
      <c r="G39" s="21">
        <f t="shared" ref="G39" si="11">G$31/G$6*G37*G38</f>
        <v>0</v>
      </c>
      <c r="H39" s="21">
        <f t="shared" ref="H39" si="12">H$31/H$6*H37*H38</f>
        <v>5181138.8100000005</v>
      </c>
      <c r="I39" s="21">
        <f t="shared" ref="I39" si="13">I$31/I$6*I37*I38</f>
        <v>7372167.6600000001</v>
      </c>
      <c r="J39" s="64">
        <f>SUM(E39:I39)</f>
        <v>18224204.670000002</v>
      </c>
      <c r="K39" s="193"/>
      <c r="L39" s="17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522"/>
      <c r="B40" s="524"/>
      <c r="C40" s="527"/>
      <c r="D40" s="20" t="s">
        <v>44</v>
      </c>
      <c r="E40" s="21">
        <f>E39*0.18</f>
        <v>0</v>
      </c>
      <c r="F40" s="21">
        <f t="shared" ref="F40:I40" si="14">F39*0.18</f>
        <v>1020761.676</v>
      </c>
      <c r="G40" s="21">
        <f t="shared" si="14"/>
        <v>0</v>
      </c>
      <c r="H40" s="21">
        <f t="shared" si="14"/>
        <v>932604.98580000002</v>
      </c>
      <c r="I40" s="21">
        <f t="shared" si="14"/>
        <v>1326990.1787999999</v>
      </c>
      <c r="J40" s="21" t="s">
        <v>152</v>
      </c>
      <c r="K40" s="193"/>
      <c r="L40" s="174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"/>
    </row>
    <row r="41" spans="1:29" x14ac:dyDescent="0.25">
      <c r="A41" s="522"/>
      <c r="B41" s="524"/>
      <c r="C41" s="527"/>
      <c r="D41" s="20" t="s">
        <v>67</v>
      </c>
      <c r="E41" s="116"/>
      <c r="F41" s="116"/>
      <c r="G41" s="116"/>
      <c r="H41" s="116"/>
      <c r="I41" s="116"/>
      <c r="J41" s="37"/>
      <c r="K41" s="193"/>
      <c r="L41" s="174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"/>
    </row>
    <row r="42" spans="1:29" x14ac:dyDescent="0.25">
      <c r="A42" s="522"/>
      <c r="B42" s="524"/>
      <c r="C42" s="528"/>
      <c r="D42" s="20" t="s">
        <v>89</v>
      </c>
      <c r="E42" s="23">
        <v>42755</v>
      </c>
      <c r="F42" s="23">
        <v>42755</v>
      </c>
      <c r="G42" s="23">
        <v>42755</v>
      </c>
      <c r="H42" s="23">
        <v>42755</v>
      </c>
      <c r="I42" s="23">
        <v>42755</v>
      </c>
      <c r="J42" s="23">
        <v>42755</v>
      </c>
      <c r="K42" s="60"/>
      <c r="L42" s="173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6.149999999999999" customHeight="1" x14ac:dyDescent="0.25">
      <c r="A43" s="522"/>
      <c r="B43" s="524"/>
      <c r="C43" s="530" t="s">
        <v>48</v>
      </c>
      <c r="D43" s="20" t="s">
        <v>56</v>
      </c>
      <c r="E43" s="21"/>
      <c r="F43" s="21"/>
      <c r="G43" s="21"/>
      <c r="H43" s="21"/>
      <c r="I43" s="21"/>
      <c r="J43" s="102">
        <v>18224204.670000002</v>
      </c>
      <c r="L43" s="175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6.149999999999999" customHeight="1" x14ac:dyDescent="0.25">
      <c r="A44" s="522"/>
      <c r="B44" s="524"/>
      <c r="C44" s="530"/>
      <c r="D44" s="20" t="s">
        <v>57</v>
      </c>
      <c r="E44" s="21"/>
      <c r="F44" s="21"/>
      <c r="G44" s="21"/>
      <c r="H44" s="21"/>
      <c r="I44" s="21"/>
      <c r="J44" s="102">
        <v>2733630.7005000003</v>
      </c>
      <c r="L44" s="175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29" ht="16.149999999999999" customHeight="1" x14ac:dyDescent="0.25">
      <c r="A45" s="522"/>
      <c r="B45" s="524"/>
      <c r="C45" s="531" t="s">
        <v>96</v>
      </c>
      <c r="D45" s="40" t="s">
        <v>97</v>
      </c>
      <c r="E45" s="21"/>
      <c r="F45" s="21"/>
      <c r="G45" s="21"/>
      <c r="H45" s="21"/>
      <c r="I45" s="21"/>
      <c r="J45" s="103">
        <f>+J39-J43</f>
        <v>0</v>
      </c>
      <c r="L45" s="175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6.149999999999999" customHeight="1" x14ac:dyDescent="0.25">
      <c r="A46" s="522"/>
      <c r="B46" s="524"/>
      <c r="C46" s="532"/>
      <c r="D46" s="20" t="s">
        <v>98</v>
      </c>
      <c r="E46" s="21"/>
      <c r="F46" s="21"/>
      <c r="G46" s="21"/>
      <c r="H46" s="21"/>
      <c r="I46" s="21"/>
      <c r="J46" s="104" t="s">
        <v>153</v>
      </c>
      <c r="L46" s="175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6.149999999999999" customHeight="1" x14ac:dyDescent="0.25">
      <c r="A47" s="522"/>
      <c r="B47" s="524"/>
      <c r="C47" s="532"/>
      <c r="D47" s="20" t="s">
        <v>99</v>
      </c>
      <c r="E47" s="21"/>
      <c r="F47" s="21"/>
      <c r="G47" s="21"/>
      <c r="H47" s="21"/>
      <c r="I47" s="21"/>
      <c r="J47" s="37"/>
      <c r="L47" s="175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s="81" customFormat="1" ht="16.149999999999999" customHeight="1" x14ac:dyDescent="0.25">
      <c r="A48" s="522"/>
      <c r="B48" s="524"/>
      <c r="C48" s="533"/>
      <c r="D48" s="20" t="s">
        <v>100</v>
      </c>
      <c r="E48" s="80"/>
      <c r="F48" s="80"/>
      <c r="G48" s="80"/>
      <c r="H48" s="80"/>
      <c r="I48" s="80"/>
      <c r="J48" s="46"/>
      <c r="L48" s="176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</row>
    <row r="49" spans="1:29" ht="15.75" customHeight="1" x14ac:dyDescent="0.25">
      <c r="A49" s="522"/>
      <c r="B49" s="524"/>
      <c r="C49" s="534" t="s">
        <v>50</v>
      </c>
      <c r="D49" s="20" t="s">
        <v>41</v>
      </c>
      <c r="E49" s="3"/>
      <c r="F49" s="3"/>
      <c r="G49" s="3"/>
      <c r="H49" s="3"/>
      <c r="I49" s="3"/>
      <c r="J49" s="37">
        <v>18224204.670000002</v>
      </c>
      <c r="L49" s="175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15.75" customHeight="1" x14ac:dyDescent="0.25">
      <c r="A50" s="522"/>
      <c r="B50" s="524"/>
      <c r="C50" s="534"/>
      <c r="D50" s="20" t="s">
        <v>62</v>
      </c>
      <c r="E50" s="23"/>
      <c r="F50" s="23"/>
      <c r="G50" s="23"/>
      <c r="H50" s="23"/>
      <c r="I50" s="23"/>
      <c r="J50" s="105">
        <v>43243</v>
      </c>
      <c r="L50" s="175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spans="1:29" ht="15.75" customHeight="1" x14ac:dyDescent="0.25">
      <c r="A51" s="522"/>
      <c r="B51" s="524"/>
      <c r="C51" s="534" t="s">
        <v>102</v>
      </c>
      <c r="D51" s="20" t="s">
        <v>101</v>
      </c>
      <c r="E51" s="3"/>
      <c r="F51" s="3"/>
      <c r="G51" s="3"/>
      <c r="H51" s="3"/>
      <c r="I51" s="3"/>
      <c r="J51" s="37"/>
      <c r="L51" s="175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</row>
    <row r="52" spans="1:29" ht="15.75" customHeight="1" x14ac:dyDescent="0.25">
      <c r="A52" s="522"/>
      <c r="B52" s="524"/>
      <c r="C52" s="534"/>
      <c r="D52" s="20" t="s">
        <v>103</v>
      </c>
      <c r="E52" s="3"/>
      <c r="F52" s="3"/>
      <c r="G52" s="3"/>
      <c r="H52" s="3"/>
      <c r="I52" s="3"/>
      <c r="J52" s="37"/>
      <c r="L52" s="175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spans="1:29" ht="15.75" customHeight="1" x14ac:dyDescent="0.25">
      <c r="A53" s="522"/>
      <c r="B53" s="524"/>
      <c r="C53" s="534"/>
      <c r="D53" s="20" t="s">
        <v>62</v>
      </c>
      <c r="E53" s="3"/>
      <c r="F53" s="3"/>
      <c r="G53" s="3"/>
      <c r="H53" s="3"/>
      <c r="I53" s="3"/>
      <c r="J53" s="37"/>
      <c r="L53" s="175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spans="1:29" s="87" customFormat="1" ht="35.450000000000003" customHeight="1" x14ac:dyDescent="0.25">
      <c r="A54" s="522"/>
      <c r="B54" s="524"/>
      <c r="C54" s="534"/>
      <c r="D54" s="84" t="s">
        <v>106</v>
      </c>
      <c r="E54" s="85"/>
      <c r="F54" s="85"/>
      <c r="G54" s="85"/>
      <c r="H54" s="85"/>
      <c r="I54" s="85"/>
      <c r="J54" s="86"/>
      <c r="L54" s="177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</row>
    <row r="55" spans="1:29" ht="15.75" customHeight="1" x14ac:dyDescent="0.25">
      <c r="A55" s="522"/>
      <c r="B55" s="524"/>
      <c r="C55" s="535" t="s">
        <v>58</v>
      </c>
      <c r="D55" s="20" t="s">
        <v>63</v>
      </c>
      <c r="E55" s="3"/>
      <c r="F55" s="3"/>
      <c r="G55" s="3"/>
      <c r="H55" s="3"/>
      <c r="I55" s="3"/>
      <c r="J55" s="37"/>
      <c r="L55" s="175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spans="1:29" ht="15.75" customHeight="1" thickBot="1" x14ac:dyDescent="0.3">
      <c r="A56" s="522"/>
      <c r="B56" s="525"/>
      <c r="C56" s="536"/>
      <c r="D56" s="183" t="s">
        <v>59</v>
      </c>
      <c r="E56" s="184"/>
      <c r="F56" s="184"/>
      <c r="G56" s="184"/>
      <c r="H56" s="184"/>
      <c r="I56" s="184"/>
      <c r="J56" s="185"/>
      <c r="K56" s="159"/>
      <c r="L56" s="18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spans="1:29" ht="15" customHeight="1" x14ac:dyDescent="0.25">
      <c r="A57" s="178"/>
      <c r="B57" s="189"/>
      <c r="C57" s="189"/>
      <c r="D57" s="163"/>
      <c r="E57" s="165"/>
      <c r="F57" s="165"/>
      <c r="G57" s="165"/>
      <c r="H57" s="165"/>
      <c r="I57" s="165"/>
      <c r="J57" s="165"/>
      <c r="L57" s="15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s="16" customFormat="1" ht="15.75" customHeight="1" x14ac:dyDescent="0.25">
      <c r="A58" s="178"/>
      <c r="B58" s="537" t="s">
        <v>53</v>
      </c>
      <c r="C58" s="530" t="s">
        <v>49</v>
      </c>
      <c r="D58" s="20" t="s">
        <v>43</v>
      </c>
      <c r="E58" s="21"/>
      <c r="F58" s="21"/>
      <c r="G58" s="21"/>
      <c r="H58" s="21"/>
      <c r="I58" s="21"/>
      <c r="J58" s="35"/>
      <c r="L58" s="15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x14ac:dyDescent="0.25">
      <c r="A59" s="178"/>
      <c r="B59" s="538"/>
      <c r="C59" s="530"/>
      <c r="D59" s="20" t="s">
        <v>44</v>
      </c>
      <c r="E59" s="21"/>
      <c r="F59" s="21"/>
      <c r="G59" s="21"/>
      <c r="H59" s="21"/>
      <c r="I59" s="21"/>
      <c r="J59" s="37"/>
      <c r="L59" s="15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178"/>
      <c r="B60" s="538"/>
      <c r="C60" s="540" t="s">
        <v>47</v>
      </c>
      <c r="D60" s="20" t="s">
        <v>54</v>
      </c>
      <c r="E60" s="21"/>
      <c r="F60" s="21"/>
      <c r="G60" s="21"/>
      <c r="H60" s="21"/>
      <c r="I60" s="21"/>
      <c r="J60" s="37"/>
      <c r="L60" s="171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"/>
      <c r="AC60" s="2"/>
    </row>
    <row r="61" spans="1:29" x14ac:dyDescent="0.25">
      <c r="A61" s="178"/>
      <c r="B61" s="538"/>
      <c r="C61" s="540"/>
      <c r="D61" s="20" t="s">
        <v>0</v>
      </c>
      <c r="E61" s="3"/>
      <c r="F61" s="3"/>
      <c r="G61" s="3"/>
      <c r="H61" s="3"/>
      <c r="I61" s="3"/>
      <c r="J61" s="37"/>
      <c r="L61" s="175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5"/>
      <c r="AC61" s="2"/>
    </row>
    <row r="62" spans="1:29" ht="31.5" x14ac:dyDescent="0.25">
      <c r="A62" s="178"/>
      <c r="B62" s="538"/>
      <c r="C62" s="540"/>
      <c r="D62" s="20" t="s">
        <v>55</v>
      </c>
      <c r="E62" s="21">
        <v>698971</v>
      </c>
      <c r="F62" s="21"/>
      <c r="G62" s="21"/>
      <c r="H62" s="21"/>
      <c r="I62" s="21">
        <v>6989709</v>
      </c>
      <c r="J62" s="37"/>
      <c r="L62" s="15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178"/>
      <c r="B63" s="538"/>
      <c r="C63" s="540"/>
      <c r="D63" s="20" t="s">
        <v>44</v>
      </c>
      <c r="E63" s="21"/>
      <c r="F63" s="21"/>
      <c r="G63" s="21"/>
      <c r="H63" s="21"/>
      <c r="I63" s="21"/>
      <c r="J63" s="37"/>
      <c r="L63" s="15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31.5" x14ac:dyDescent="0.25">
      <c r="A64" s="178"/>
      <c r="B64" s="538"/>
      <c r="C64" s="530" t="s">
        <v>48</v>
      </c>
      <c r="D64" s="20" t="s">
        <v>56</v>
      </c>
      <c r="E64" s="23"/>
      <c r="F64" s="23"/>
      <c r="G64" s="23"/>
      <c r="H64" s="23"/>
      <c r="I64" s="23"/>
      <c r="J64" s="37"/>
      <c r="L64" s="15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s="16" customFormat="1" ht="31.5" x14ac:dyDescent="0.25">
      <c r="A65" s="178"/>
      <c r="B65" s="538"/>
      <c r="C65" s="530"/>
      <c r="D65" s="20" t="s">
        <v>57</v>
      </c>
      <c r="E65" s="23"/>
      <c r="F65" s="23"/>
      <c r="G65" s="23"/>
      <c r="H65" s="23"/>
      <c r="I65" s="23"/>
      <c r="J65" s="35"/>
      <c r="L65" s="15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5.75" customHeight="1" x14ac:dyDescent="0.25">
      <c r="A66" s="178"/>
      <c r="B66" s="538"/>
      <c r="C66" s="541" t="s">
        <v>96</v>
      </c>
      <c r="D66" s="40" t="s">
        <v>97</v>
      </c>
      <c r="E66" s="21"/>
      <c r="F66" s="21"/>
      <c r="G66" s="21"/>
      <c r="H66" s="21"/>
      <c r="I66" s="21"/>
      <c r="J66" s="37"/>
      <c r="L66" s="175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spans="1:29" ht="15.75" customHeight="1" x14ac:dyDescent="0.25">
      <c r="A67" s="178"/>
      <c r="B67" s="538"/>
      <c r="C67" s="542"/>
      <c r="D67" s="20" t="s">
        <v>98</v>
      </c>
      <c r="E67" s="21"/>
      <c r="F67" s="21"/>
      <c r="G67" s="21"/>
      <c r="H67" s="21"/>
      <c r="I67" s="21"/>
      <c r="J67" s="37"/>
      <c r="L67" s="175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spans="1:29" ht="15.75" customHeight="1" x14ac:dyDescent="0.25">
      <c r="A68" s="178"/>
      <c r="B68" s="538"/>
      <c r="C68" s="542"/>
      <c r="D68" s="20" t="s">
        <v>99</v>
      </c>
      <c r="E68" s="21"/>
      <c r="F68" s="21"/>
      <c r="G68" s="21"/>
      <c r="H68" s="21"/>
      <c r="I68" s="21"/>
      <c r="J68" s="37"/>
      <c r="L68" s="175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spans="1:29" s="81" customFormat="1" ht="31.5" x14ac:dyDescent="0.25">
      <c r="A69" s="178"/>
      <c r="B69" s="538"/>
      <c r="C69" s="543"/>
      <c r="D69" s="20" t="s">
        <v>100</v>
      </c>
      <c r="E69" s="80"/>
      <c r="F69" s="80"/>
      <c r="G69" s="80"/>
      <c r="H69" s="80"/>
      <c r="I69" s="80"/>
      <c r="J69" s="46"/>
      <c r="L69" s="176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</row>
    <row r="70" spans="1:29" ht="15.75" customHeight="1" x14ac:dyDescent="0.25">
      <c r="A70" s="178"/>
      <c r="B70" s="538"/>
      <c r="C70" s="544" t="s">
        <v>50</v>
      </c>
      <c r="D70" s="20" t="s">
        <v>60</v>
      </c>
      <c r="E70" s="23"/>
      <c r="F70" s="23"/>
      <c r="G70" s="23"/>
      <c r="H70" s="23"/>
      <c r="I70" s="23"/>
      <c r="J70" s="37"/>
      <c r="L70" s="15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178"/>
      <c r="B71" s="538"/>
      <c r="C71" s="545"/>
      <c r="D71" s="20" t="s">
        <v>61</v>
      </c>
      <c r="E71" s="23"/>
      <c r="F71" s="23"/>
      <c r="G71" s="23"/>
      <c r="H71" s="23"/>
      <c r="I71" s="23"/>
      <c r="J71" s="37"/>
      <c r="L71" s="15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178"/>
      <c r="B72" s="538"/>
      <c r="C72" s="544" t="s">
        <v>51</v>
      </c>
      <c r="D72" s="20" t="s">
        <v>52</v>
      </c>
      <c r="E72" s="23"/>
      <c r="F72" s="23"/>
      <c r="G72" s="23"/>
      <c r="H72" s="23"/>
      <c r="I72" s="23"/>
      <c r="J72" s="37"/>
      <c r="L72" s="15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31.5" x14ac:dyDescent="0.25">
      <c r="A73" s="178"/>
      <c r="B73" s="538"/>
      <c r="C73" s="545"/>
      <c r="D73" s="20" t="s">
        <v>42</v>
      </c>
      <c r="E73" s="23"/>
      <c r="F73" s="23"/>
      <c r="G73" s="23"/>
      <c r="H73" s="23"/>
      <c r="I73" s="23"/>
      <c r="J73" s="37"/>
      <c r="L73" s="15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178"/>
      <c r="B74" s="538"/>
      <c r="C74" s="537" t="s">
        <v>102</v>
      </c>
      <c r="D74" s="20" t="s">
        <v>101</v>
      </c>
      <c r="E74" s="3"/>
      <c r="F74" s="3"/>
      <c r="G74" s="3"/>
      <c r="H74" s="3"/>
      <c r="I74" s="3"/>
      <c r="J74" s="37"/>
      <c r="L74" s="175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</row>
    <row r="75" spans="1:29" ht="15.75" customHeight="1" x14ac:dyDescent="0.25">
      <c r="A75" s="178"/>
      <c r="B75" s="538"/>
      <c r="C75" s="538"/>
      <c r="D75" s="20" t="s">
        <v>103</v>
      </c>
      <c r="E75" s="3"/>
      <c r="F75" s="3"/>
      <c r="G75" s="3"/>
      <c r="H75" s="3"/>
      <c r="I75" s="3"/>
      <c r="J75" s="37"/>
      <c r="L75" s="175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1:29" ht="15.75" customHeight="1" x14ac:dyDescent="0.25">
      <c r="A76" s="178"/>
      <c r="B76" s="538"/>
      <c r="C76" s="538"/>
      <c r="D76" s="20" t="s">
        <v>62</v>
      </c>
      <c r="E76" s="3"/>
      <c r="F76" s="3"/>
      <c r="G76" s="3"/>
      <c r="H76" s="3"/>
      <c r="I76" s="3"/>
      <c r="J76" s="37"/>
      <c r="L76" s="175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</row>
    <row r="77" spans="1:29" ht="47.25" x14ac:dyDescent="0.25">
      <c r="A77" s="178"/>
      <c r="B77" s="538"/>
      <c r="C77" s="538"/>
      <c r="D77" s="81" t="s">
        <v>104</v>
      </c>
      <c r="E77" s="23"/>
      <c r="F77" s="23"/>
      <c r="G77" s="23"/>
      <c r="H77" s="23"/>
      <c r="I77" s="23"/>
      <c r="J77" s="37"/>
      <c r="L77" s="175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</row>
    <row r="78" spans="1:29" s="81" customFormat="1" ht="47.25" x14ac:dyDescent="0.25">
      <c r="A78" s="178"/>
      <c r="B78" s="538"/>
      <c r="C78" s="539"/>
      <c r="D78" s="20" t="s">
        <v>107</v>
      </c>
      <c r="E78" s="80"/>
      <c r="F78" s="80"/>
      <c r="G78" s="80"/>
      <c r="H78" s="80"/>
      <c r="I78" s="80"/>
      <c r="J78" s="46"/>
      <c r="L78" s="176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</row>
    <row r="79" spans="1:29" ht="31.5" x14ac:dyDescent="0.25">
      <c r="A79" s="178"/>
      <c r="B79" s="538"/>
      <c r="C79" s="530" t="s">
        <v>105</v>
      </c>
      <c r="D79" s="20" t="s">
        <v>43</v>
      </c>
      <c r="E79" s="23"/>
      <c r="F79" s="23"/>
      <c r="G79" s="23"/>
      <c r="H79" s="23"/>
      <c r="I79" s="23"/>
      <c r="J79" s="37"/>
      <c r="L79" s="15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178"/>
      <c r="B80" s="538"/>
      <c r="C80" s="530"/>
      <c r="D80" s="20" t="s">
        <v>44</v>
      </c>
      <c r="E80" s="3"/>
      <c r="F80" s="3"/>
      <c r="G80" s="3"/>
      <c r="H80" s="3"/>
      <c r="I80" s="3"/>
      <c r="J80" s="37"/>
      <c r="L80" s="15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31.5" x14ac:dyDescent="0.25">
      <c r="A81" s="178"/>
      <c r="B81" s="538"/>
      <c r="C81" s="535" t="s">
        <v>58</v>
      </c>
      <c r="D81" s="20" t="s">
        <v>63</v>
      </c>
      <c r="E81" s="3"/>
      <c r="F81" s="3"/>
      <c r="G81" s="3"/>
      <c r="H81" s="3"/>
      <c r="I81" s="3"/>
      <c r="J81" s="37"/>
      <c r="L81" s="15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31.5" x14ac:dyDescent="0.25">
      <c r="A82" s="178"/>
      <c r="B82" s="539"/>
      <c r="C82" s="535"/>
      <c r="D82" s="20" t="s">
        <v>59</v>
      </c>
      <c r="E82" s="3"/>
      <c r="F82" s="3"/>
      <c r="G82" s="3"/>
      <c r="H82" s="3"/>
      <c r="I82" s="3"/>
      <c r="J82" s="37"/>
      <c r="L82" s="15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178"/>
      <c r="B83" s="546" t="s">
        <v>13</v>
      </c>
      <c r="C83" s="529" t="s">
        <v>45</v>
      </c>
      <c r="D83" s="49" t="s">
        <v>91</v>
      </c>
      <c r="E83" s="13">
        <v>2</v>
      </c>
      <c r="F83" s="13"/>
      <c r="G83" s="13"/>
      <c r="H83" s="13"/>
      <c r="I83" s="13">
        <v>2</v>
      </c>
      <c r="J83" s="37"/>
      <c r="L83" s="17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"/>
    </row>
    <row r="84" spans="1:29" ht="31.5" customHeight="1" x14ac:dyDescent="0.25">
      <c r="A84" s="178"/>
      <c r="B84" s="547"/>
      <c r="C84" s="527"/>
      <c r="D84" s="65" t="s">
        <v>88</v>
      </c>
      <c r="E84" s="15">
        <v>0.05</v>
      </c>
      <c r="F84" s="15"/>
      <c r="G84" s="15"/>
      <c r="H84" s="15"/>
      <c r="I84" s="15">
        <v>0.05</v>
      </c>
      <c r="J84" s="37"/>
      <c r="L84" s="171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"/>
    </row>
    <row r="85" spans="1:29" ht="31.5" x14ac:dyDescent="0.25">
      <c r="A85" s="178"/>
      <c r="B85" s="547"/>
      <c r="C85" s="527"/>
      <c r="D85" s="20" t="s">
        <v>46</v>
      </c>
      <c r="E85" s="13">
        <f>$E$31*E84</f>
        <v>398108.51</v>
      </c>
      <c r="F85" s="13"/>
      <c r="G85" s="13"/>
      <c r="H85" s="13"/>
      <c r="I85" s="13">
        <f>$I$31*I84</f>
        <v>819129.74000000011</v>
      </c>
      <c r="J85" s="37"/>
      <c r="L85" s="17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"/>
    </row>
    <row r="86" spans="1:29" s="54" customFormat="1" ht="24" customHeight="1" x14ac:dyDescent="0.25">
      <c r="A86" s="178"/>
      <c r="B86" s="547"/>
      <c r="C86" s="527"/>
      <c r="D86" s="66" t="s">
        <v>84</v>
      </c>
      <c r="E86" s="53">
        <v>30</v>
      </c>
      <c r="F86" s="53"/>
      <c r="G86" s="53"/>
      <c r="H86" s="53"/>
      <c r="I86" s="53">
        <v>30</v>
      </c>
      <c r="J86" s="63"/>
      <c r="L86" s="172"/>
      <c r="AC86" s="55"/>
    </row>
    <row r="87" spans="1:29" ht="21" customHeight="1" x14ac:dyDescent="0.25">
      <c r="A87" s="178"/>
      <c r="B87" s="547"/>
      <c r="C87" s="528"/>
      <c r="D87" s="66" t="s">
        <v>85</v>
      </c>
      <c r="E87" s="59">
        <f>$E$9+E86</f>
        <v>42121</v>
      </c>
      <c r="F87" s="59"/>
      <c r="G87" s="59"/>
      <c r="H87" s="59"/>
      <c r="I87" s="59">
        <f>$E$9+I86</f>
        <v>42121</v>
      </c>
      <c r="J87" s="37"/>
      <c r="L87" s="17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"/>
    </row>
    <row r="88" spans="1:29" ht="34.5" customHeight="1" x14ac:dyDescent="0.25">
      <c r="A88" s="178"/>
      <c r="B88" s="547"/>
      <c r="C88" s="529" t="s">
        <v>47</v>
      </c>
      <c r="D88" s="75" t="s">
        <v>93</v>
      </c>
      <c r="E88" s="76">
        <f>IF(OR(E$23&lt;E83),IF(E$22&lt;E$6*0.9,E$22+0.1*E$6,IF(E$22&gt;1.1*E$6,E$22-0.1*E$6,E$6)),E$6)</f>
        <v>13.9</v>
      </c>
      <c r="F88" s="76"/>
      <c r="G88" s="76"/>
      <c r="H88" s="76"/>
      <c r="I88" s="76">
        <f>IF(OR(I$23&lt;I83),IF(I$22&lt;I$6*0.9,I$22+0.1*I$6,IF(I$22&gt;1.1*I$6,I$22-0.1*I$6,I$6)),I$6)</f>
        <v>28.6</v>
      </c>
      <c r="J88" s="68"/>
      <c r="K88" s="70"/>
      <c r="L88" s="179">
        <f t="shared" ref="L88" si="15">IF(OR(K88&gt;0,M88&gt;0),1,0)</f>
        <v>0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</row>
    <row r="89" spans="1:29" ht="34.5" customHeight="1" x14ac:dyDescent="0.25">
      <c r="A89" s="178"/>
      <c r="B89" s="547"/>
      <c r="C89" s="527"/>
      <c r="D89" s="75" t="s">
        <v>92</v>
      </c>
      <c r="E89" s="15">
        <v>0.1</v>
      </c>
      <c r="F89" s="15"/>
      <c r="G89" s="15"/>
      <c r="H89" s="15"/>
      <c r="I89" s="15">
        <v>0.1</v>
      </c>
      <c r="J89" s="68"/>
      <c r="K89" s="73"/>
      <c r="L89" s="180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</row>
    <row r="90" spans="1:29" ht="31.5" x14ac:dyDescent="0.25">
      <c r="A90" s="178"/>
      <c r="B90" s="547"/>
      <c r="C90" s="527"/>
      <c r="D90" s="20" t="s">
        <v>55</v>
      </c>
      <c r="E90" s="21">
        <v>0</v>
      </c>
      <c r="F90" s="21"/>
      <c r="G90" s="21"/>
      <c r="H90" s="21"/>
      <c r="I90" s="21">
        <v>3494855</v>
      </c>
      <c r="J90" s="37"/>
      <c r="K90" s="60"/>
      <c r="L90" s="17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178"/>
      <c r="B91" s="547"/>
      <c r="C91" s="527"/>
      <c r="D91" s="20" t="s">
        <v>44</v>
      </c>
      <c r="E91" s="21">
        <f>E90*0.18</f>
        <v>0</v>
      </c>
      <c r="F91" s="21"/>
      <c r="G91" s="21"/>
      <c r="H91" s="21"/>
      <c r="I91" s="21">
        <f>I90*0.18</f>
        <v>629073.9</v>
      </c>
      <c r="J91" s="37"/>
      <c r="L91" s="174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"/>
    </row>
    <row r="92" spans="1:29" x14ac:dyDescent="0.25">
      <c r="A92" s="178"/>
      <c r="B92" s="547"/>
      <c r="C92" s="527"/>
      <c r="D92" s="20" t="s">
        <v>67</v>
      </c>
      <c r="I92" s="181" t="s">
        <v>95</v>
      </c>
      <c r="J92" s="37"/>
      <c r="L92" s="174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"/>
    </row>
    <row r="93" spans="1:29" ht="18" customHeight="1" x14ac:dyDescent="0.25">
      <c r="A93" s="178"/>
      <c r="B93" s="547"/>
      <c r="C93" s="528"/>
      <c r="D93" s="20" t="s">
        <v>89</v>
      </c>
      <c r="E93" s="23"/>
      <c r="F93" s="23"/>
      <c r="G93" s="23"/>
      <c r="H93" s="23"/>
      <c r="I93" s="23">
        <v>43619</v>
      </c>
      <c r="J93" s="37"/>
      <c r="K93" s="60"/>
      <c r="L93" s="173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</row>
    <row r="94" spans="1:29" ht="31.5" x14ac:dyDescent="0.25">
      <c r="A94" s="178"/>
      <c r="B94" s="547"/>
      <c r="C94" s="530" t="s">
        <v>48</v>
      </c>
      <c r="D94" s="20" t="s">
        <v>56</v>
      </c>
      <c r="E94" s="21"/>
      <c r="F94" s="21"/>
      <c r="G94" s="21"/>
      <c r="H94" s="21"/>
      <c r="I94" s="21"/>
      <c r="J94" s="37"/>
      <c r="L94" s="175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</row>
    <row r="95" spans="1:29" ht="15.75" customHeight="1" x14ac:dyDescent="0.25">
      <c r="A95" s="178"/>
      <c r="B95" s="547"/>
      <c r="C95" s="530"/>
      <c r="D95" s="20" t="s">
        <v>57</v>
      </c>
      <c r="E95" s="21"/>
      <c r="F95" s="21"/>
      <c r="G95" s="21"/>
      <c r="H95" s="21"/>
      <c r="I95" s="21"/>
      <c r="J95" s="37"/>
      <c r="L95" s="175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</row>
    <row r="96" spans="1:29" ht="15.75" customHeight="1" x14ac:dyDescent="0.25">
      <c r="A96" s="178"/>
      <c r="B96" s="547"/>
      <c r="C96" s="541" t="s">
        <v>96</v>
      </c>
      <c r="D96" s="40" t="s">
        <v>97</v>
      </c>
      <c r="E96" s="21"/>
      <c r="F96" s="21"/>
      <c r="G96" s="21"/>
      <c r="H96" s="21"/>
      <c r="I96" s="21"/>
      <c r="J96" s="37"/>
      <c r="L96" s="175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</row>
    <row r="97" spans="1:29" ht="15.75" customHeight="1" x14ac:dyDescent="0.25">
      <c r="A97" s="178"/>
      <c r="B97" s="547"/>
      <c r="C97" s="542"/>
      <c r="D97" s="20" t="s">
        <v>98</v>
      </c>
      <c r="E97" s="21"/>
      <c r="F97" s="21"/>
      <c r="G97" s="21"/>
      <c r="H97" s="21"/>
      <c r="I97" s="21"/>
      <c r="J97" s="37"/>
      <c r="L97" s="175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</row>
    <row r="98" spans="1:29" ht="15.75" customHeight="1" x14ac:dyDescent="0.25">
      <c r="A98" s="178"/>
      <c r="B98" s="547"/>
      <c r="C98" s="542"/>
      <c r="D98" s="20" t="s">
        <v>99</v>
      </c>
      <c r="E98" s="21"/>
      <c r="F98" s="21"/>
      <c r="G98" s="21"/>
      <c r="H98" s="21"/>
      <c r="I98" s="21"/>
      <c r="J98" s="37"/>
      <c r="L98" s="175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</row>
    <row r="99" spans="1:29" s="81" customFormat="1" ht="31.5" x14ac:dyDescent="0.25">
      <c r="A99" s="178"/>
      <c r="B99" s="547"/>
      <c r="C99" s="543"/>
      <c r="D99" s="20" t="s">
        <v>100</v>
      </c>
      <c r="E99" s="80"/>
      <c r="F99" s="80"/>
      <c r="G99" s="80"/>
      <c r="H99" s="80"/>
      <c r="I99" s="80"/>
      <c r="J99" s="46"/>
      <c r="L99" s="176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</row>
    <row r="100" spans="1:29" ht="15.75" customHeight="1" x14ac:dyDescent="0.25">
      <c r="A100" s="178"/>
      <c r="B100" s="547"/>
      <c r="C100" s="534" t="s">
        <v>50</v>
      </c>
      <c r="D100" s="20" t="s">
        <v>101</v>
      </c>
      <c r="E100" s="3"/>
      <c r="F100" s="3"/>
      <c r="G100" s="3"/>
      <c r="H100" s="3"/>
      <c r="I100" s="3"/>
      <c r="J100" s="37"/>
      <c r="L100" s="175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</row>
    <row r="101" spans="1:29" ht="15.75" customHeight="1" x14ac:dyDescent="0.25">
      <c r="A101" s="178"/>
      <c r="B101" s="547"/>
      <c r="C101" s="534"/>
      <c r="D101" s="20" t="s">
        <v>62</v>
      </c>
      <c r="E101" s="23"/>
      <c r="F101" s="23"/>
      <c r="G101" s="23"/>
      <c r="H101" s="23"/>
      <c r="I101" s="23"/>
      <c r="J101" s="37"/>
      <c r="L101" s="175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</row>
    <row r="102" spans="1:29" ht="15.75" customHeight="1" x14ac:dyDescent="0.25">
      <c r="A102" s="178"/>
      <c r="B102" s="547"/>
      <c r="C102" s="534" t="s">
        <v>51</v>
      </c>
      <c r="D102" s="20" t="s">
        <v>101</v>
      </c>
      <c r="E102" s="3"/>
      <c r="F102" s="3"/>
      <c r="G102" s="3"/>
      <c r="H102" s="3"/>
      <c r="I102" s="3"/>
      <c r="J102" s="37"/>
      <c r="L102" s="175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</row>
    <row r="103" spans="1:29" ht="15.75" customHeight="1" x14ac:dyDescent="0.25">
      <c r="A103" s="178"/>
      <c r="B103" s="547"/>
      <c r="C103" s="534"/>
      <c r="D103" s="20" t="s">
        <v>62</v>
      </c>
      <c r="E103" s="23"/>
      <c r="F103" s="23"/>
      <c r="G103" s="23"/>
      <c r="H103" s="23"/>
      <c r="I103" s="23"/>
      <c r="J103" s="37"/>
      <c r="L103" s="175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</row>
    <row r="104" spans="1:29" ht="15.75" customHeight="1" x14ac:dyDescent="0.25">
      <c r="A104" s="178"/>
      <c r="B104" s="547"/>
      <c r="C104" s="534" t="s">
        <v>102</v>
      </c>
      <c r="D104" s="20" t="s">
        <v>101</v>
      </c>
      <c r="E104" s="3"/>
      <c r="F104" s="3"/>
      <c r="G104" s="3"/>
      <c r="H104" s="3"/>
      <c r="I104" s="3"/>
      <c r="J104" s="37"/>
      <c r="L104" s="175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</row>
    <row r="105" spans="1:29" ht="15.75" customHeight="1" x14ac:dyDescent="0.25">
      <c r="A105" s="178"/>
      <c r="B105" s="547"/>
      <c r="C105" s="534"/>
      <c r="D105" s="20" t="s">
        <v>103</v>
      </c>
      <c r="E105" s="3"/>
      <c r="F105" s="3"/>
      <c r="G105" s="3"/>
      <c r="H105" s="3"/>
      <c r="I105" s="3"/>
      <c r="J105" s="37"/>
      <c r="L105" s="175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</row>
    <row r="106" spans="1:29" ht="15.75" customHeight="1" x14ac:dyDescent="0.25">
      <c r="A106" s="178"/>
      <c r="B106" s="547"/>
      <c r="C106" s="534"/>
      <c r="D106" s="20" t="s">
        <v>62</v>
      </c>
      <c r="E106" s="3"/>
      <c r="F106" s="3"/>
      <c r="G106" s="3"/>
      <c r="H106" s="3"/>
      <c r="I106" s="3"/>
      <c r="J106" s="37"/>
      <c r="L106" s="175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</row>
    <row r="107" spans="1:29" ht="47.25" x14ac:dyDescent="0.25">
      <c r="A107" s="178"/>
      <c r="B107" s="547"/>
      <c r="C107" s="534"/>
      <c r="D107" s="81" t="s">
        <v>104</v>
      </c>
      <c r="E107" s="23"/>
      <c r="F107" s="23"/>
      <c r="G107" s="23"/>
      <c r="H107" s="23"/>
      <c r="I107" s="23"/>
      <c r="J107" s="37"/>
      <c r="L107" s="175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</row>
    <row r="108" spans="1:29" ht="15.75" customHeight="1" x14ac:dyDescent="0.25">
      <c r="A108" s="178"/>
      <c r="B108" s="547"/>
      <c r="C108" s="535" t="s">
        <v>58</v>
      </c>
      <c r="D108" s="20" t="s">
        <v>63</v>
      </c>
      <c r="E108" s="3"/>
      <c r="F108" s="3"/>
      <c r="G108" s="3"/>
      <c r="H108" s="3"/>
      <c r="I108" s="3"/>
      <c r="J108" s="37"/>
      <c r="L108" s="175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</row>
    <row r="109" spans="1:29" ht="15.75" customHeight="1" x14ac:dyDescent="0.25">
      <c r="A109" s="178"/>
      <c r="B109" s="549"/>
      <c r="C109" s="535"/>
      <c r="D109" s="20" t="s">
        <v>59</v>
      </c>
      <c r="E109" s="23"/>
      <c r="F109" s="23"/>
      <c r="G109" s="23"/>
      <c r="H109" s="23"/>
      <c r="I109" s="23"/>
      <c r="J109" s="37"/>
      <c r="L109" s="175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</row>
    <row r="110" spans="1:29" ht="15.75" customHeight="1" x14ac:dyDescent="0.25">
      <c r="A110" s="178"/>
      <c r="B110" s="546" t="s">
        <v>12</v>
      </c>
      <c r="C110" s="529" t="s">
        <v>45</v>
      </c>
      <c r="D110" s="49" t="s">
        <v>91</v>
      </c>
      <c r="E110" s="13">
        <v>3</v>
      </c>
      <c r="F110" s="13"/>
      <c r="G110" s="13"/>
      <c r="H110" s="13"/>
      <c r="I110" s="13">
        <v>3</v>
      </c>
      <c r="J110" s="37"/>
      <c r="L110" s="171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"/>
    </row>
    <row r="111" spans="1:29" ht="31.5" customHeight="1" x14ac:dyDescent="0.25">
      <c r="A111" s="178"/>
      <c r="B111" s="547"/>
      <c r="C111" s="527"/>
      <c r="D111" s="65" t="s">
        <v>88</v>
      </c>
      <c r="E111" s="15">
        <v>0.05</v>
      </c>
      <c r="F111" s="15"/>
      <c r="G111" s="15"/>
      <c r="H111" s="15"/>
      <c r="I111" s="15">
        <v>0.05</v>
      </c>
      <c r="J111" s="37"/>
      <c r="L111" s="17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"/>
    </row>
    <row r="112" spans="1:29" ht="31.5" x14ac:dyDescent="0.25">
      <c r="A112" s="178"/>
      <c r="B112" s="547"/>
      <c r="C112" s="527"/>
      <c r="D112" s="20" t="s">
        <v>46</v>
      </c>
      <c r="E112" s="13">
        <f>$E$31*E111</f>
        <v>398108.51</v>
      </c>
      <c r="F112" s="13"/>
      <c r="G112" s="13"/>
      <c r="H112" s="13"/>
      <c r="I112" s="13">
        <f>$I$31*I111</f>
        <v>819129.74000000011</v>
      </c>
      <c r="J112" s="37"/>
      <c r="L112" s="171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"/>
    </row>
    <row r="113" spans="1:29" s="54" customFormat="1" ht="24" customHeight="1" x14ac:dyDescent="0.25">
      <c r="A113" s="178"/>
      <c r="B113" s="547"/>
      <c r="C113" s="527"/>
      <c r="D113" s="66" t="s">
        <v>84</v>
      </c>
      <c r="E113" s="53">
        <v>30</v>
      </c>
      <c r="F113" s="53"/>
      <c r="G113" s="53"/>
      <c r="H113" s="53"/>
      <c r="I113" s="53">
        <v>30</v>
      </c>
      <c r="J113" s="63"/>
      <c r="L113" s="172"/>
      <c r="AC113" s="55"/>
    </row>
    <row r="114" spans="1:29" ht="21" customHeight="1" x14ac:dyDescent="0.25">
      <c r="A114" s="178"/>
      <c r="B114" s="547"/>
      <c r="C114" s="528"/>
      <c r="D114" s="66" t="s">
        <v>85</v>
      </c>
      <c r="E114" s="59">
        <f>$E$9+E113</f>
        <v>42121</v>
      </c>
      <c r="F114" s="59"/>
      <c r="G114" s="59"/>
      <c r="H114" s="59"/>
      <c r="I114" s="59">
        <f>$E$9+I113</f>
        <v>42121</v>
      </c>
      <c r="J114" s="37"/>
      <c r="L114" s="171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"/>
    </row>
    <row r="115" spans="1:29" ht="34.5" customHeight="1" x14ac:dyDescent="0.25">
      <c r="A115" s="178"/>
      <c r="B115" s="547"/>
      <c r="C115" s="529" t="s">
        <v>47</v>
      </c>
      <c r="D115" s="75" t="s">
        <v>93</v>
      </c>
      <c r="E115" s="76">
        <f>IF(OR(E$23&lt;E110),IF(E$22&lt;E$6*0.9,E$22+0.1*E$6,IF(E$22&gt;1.1*E$6,E$22-0.1*E$6,E$6)),E$6)</f>
        <v>21.61</v>
      </c>
      <c r="F115" s="76"/>
      <c r="G115" s="76"/>
      <c r="H115" s="76"/>
      <c r="I115" s="76">
        <f>IF(OR(I$23&lt;I110),IF(I$22&lt;I$6*0.9,I$22+0.1*I$6,IF(I$22&gt;1.1*I$6,I$22-0.1*I$6,I$6)),I$6)</f>
        <v>87.14</v>
      </c>
      <c r="J115" s="68"/>
      <c r="K115" s="70"/>
      <c r="L115" s="179">
        <f t="shared" ref="L115" si="16">IF(OR(K115&gt;0,M115&gt;0),1,0)</f>
        <v>0</v>
      </c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</row>
    <row r="116" spans="1:29" ht="34.5" customHeight="1" x14ac:dyDescent="0.25">
      <c r="A116" s="178"/>
      <c r="B116" s="547"/>
      <c r="C116" s="527"/>
      <c r="D116" s="75" t="s">
        <v>92</v>
      </c>
      <c r="E116" s="15">
        <v>0.1</v>
      </c>
      <c r="F116" s="15"/>
      <c r="G116" s="15"/>
      <c r="H116" s="15"/>
      <c r="I116" s="15">
        <v>0.1</v>
      </c>
      <c r="J116" s="68"/>
      <c r="K116" s="73"/>
      <c r="L116" s="180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</row>
    <row r="117" spans="1:29" ht="31.5" x14ac:dyDescent="0.25">
      <c r="A117" s="178"/>
      <c r="B117" s="547"/>
      <c r="C117" s="527"/>
      <c r="D117" s="20" t="s">
        <v>55</v>
      </c>
      <c r="E117" s="21"/>
      <c r="F117" s="21"/>
      <c r="G117" s="21"/>
      <c r="H117" s="21"/>
      <c r="I117" s="21">
        <v>3494855</v>
      </c>
      <c r="J117" s="37"/>
      <c r="K117" s="60"/>
      <c r="L117" s="17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178"/>
      <c r="B118" s="547"/>
      <c r="C118" s="527"/>
      <c r="D118" s="20" t="s">
        <v>44</v>
      </c>
      <c r="E118" s="21"/>
      <c r="F118" s="21"/>
      <c r="G118" s="21"/>
      <c r="H118" s="21"/>
      <c r="I118" s="21">
        <f>I117*0.18</f>
        <v>629073.9</v>
      </c>
      <c r="J118" s="37"/>
      <c r="L118" s="174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"/>
    </row>
    <row r="119" spans="1:29" x14ac:dyDescent="0.25">
      <c r="A119" s="178"/>
      <c r="B119" s="547"/>
      <c r="C119" s="527"/>
      <c r="D119" s="20" t="s">
        <v>67</v>
      </c>
      <c r="E119" s="116"/>
      <c r="F119" s="116"/>
      <c r="G119" s="116"/>
      <c r="H119" s="116"/>
      <c r="I119" s="116"/>
      <c r="J119" s="37"/>
      <c r="L119" s="174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"/>
    </row>
    <row r="120" spans="1:29" ht="18" customHeight="1" x14ac:dyDescent="0.25">
      <c r="A120" s="178"/>
      <c r="B120" s="547"/>
      <c r="C120" s="528"/>
      <c r="D120" s="20" t="s">
        <v>89</v>
      </c>
      <c r="E120" s="23"/>
      <c r="F120" s="23"/>
      <c r="G120" s="23"/>
      <c r="H120" s="23"/>
      <c r="I120" s="23">
        <v>43407</v>
      </c>
      <c r="J120" s="37"/>
      <c r="K120" s="60"/>
      <c r="L120" s="173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</row>
    <row r="121" spans="1:29" ht="18" customHeight="1" x14ac:dyDescent="0.25">
      <c r="A121" s="178"/>
      <c r="B121" s="547"/>
      <c r="C121" s="530" t="s">
        <v>48</v>
      </c>
      <c r="D121" s="20" t="s">
        <v>56</v>
      </c>
      <c r="E121" s="21"/>
      <c r="F121" s="21"/>
      <c r="G121" s="21"/>
      <c r="H121" s="21"/>
      <c r="I121" s="21"/>
      <c r="J121" s="37"/>
      <c r="L121" s="175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</row>
    <row r="122" spans="1:29" ht="15.75" customHeight="1" x14ac:dyDescent="0.25">
      <c r="A122" s="178"/>
      <c r="B122" s="547"/>
      <c r="C122" s="530"/>
      <c r="D122" s="20" t="s">
        <v>57</v>
      </c>
      <c r="E122" s="21"/>
      <c r="F122" s="21"/>
      <c r="G122" s="21"/>
      <c r="H122" s="21"/>
      <c r="I122" s="21"/>
      <c r="J122" s="37"/>
      <c r="L122" s="175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</row>
    <row r="123" spans="1:29" ht="15.75" customHeight="1" x14ac:dyDescent="0.25">
      <c r="A123" s="178"/>
      <c r="B123" s="547"/>
      <c r="C123" s="534" t="s">
        <v>50</v>
      </c>
      <c r="D123" s="20" t="s">
        <v>41</v>
      </c>
      <c r="E123" s="3"/>
      <c r="F123" s="3"/>
      <c r="G123" s="3"/>
      <c r="H123" s="3"/>
      <c r="I123" s="3"/>
      <c r="J123" s="37"/>
      <c r="L123" s="175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</row>
    <row r="124" spans="1:29" ht="15.75" customHeight="1" x14ac:dyDescent="0.25">
      <c r="A124" s="178"/>
      <c r="B124" s="547"/>
      <c r="C124" s="534"/>
      <c r="D124" s="20" t="s">
        <v>62</v>
      </c>
      <c r="E124" s="23"/>
      <c r="F124" s="23"/>
      <c r="G124" s="23"/>
      <c r="H124" s="23"/>
      <c r="I124" s="23"/>
      <c r="J124" s="37"/>
      <c r="L124" s="175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</row>
    <row r="125" spans="1:29" ht="15.75" customHeight="1" x14ac:dyDescent="0.25">
      <c r="A125" s="178"/>
      <c r="B125" s="547"/>
      <c r="C125" s="535" t="s">
        <v>58</v>
      </c>
      <c r="D125" s="20" t="s">
        <v>63</v>
      </c>
      <c r="E125" s="3"/>
      <c r="F125" s="3"/>
      <c r="G125" s="3"/>
      <c r="H125" s="3"/>
      <c r="I125" s="3"/>
      <c r="J125" s="37"/>
      <c r="L125" s="175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</row>
    <row r="126" spans="1:29" ht="15.75" customHeight="1" thickBot="1" x14ac:dyDescent="0.3">
      <c r="A126" s="182"/>
      <c r="B126" s="548"/>
      <c r="C126" s="536"/>
      <c r="D126" s="183" t="s">
        <v>59</v>
      </c>
      <c r="E126" s="184"/>
      <c r="F126" s="184"/>
      <c r="G126" s="184"/>
      <c r="H126" s="184"/>
      <c r="I126" s="184"/>
      <c r="J126" s="185"/>
      <c r="K126" s="159"/>
      <c r="L126" s="18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spans="1:29" ht="15.75" customHeight="1" x14ac:dyDescent="0.25">
      <c r="A127" s="83"/>
      <c r="B127" s="162" t="s">
        <v>14</v>
      </c>
      <c r="C127" s="527" t="s">
        <v>45</v>
      </c>
      <c r="D127" s="163" t="s">
        <v>91</v>
      </c>
      <c r="E127" s="164">
        <v>4</v>
      </c>
      <c r="F127" s="164"/>
      <c r="G127" s="164"/>
      <c r="H127" s="164"/>
      <c r="I127" s="164">
        <v>4</v>
      </c>
      <c r="J127" s="165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"/>
    </row>
    <row r="128" spans="1:29" ht="31.5" customHeight="1" x14ac:dyDescent="0.25">
      <c r="A128" s="83"/>
      <c r="B128" s="78"/>
      <c r="C128" s="527"/>
      <c r="D128" s="65" t="s">
        <v>88</v>
      </c>
      <c r="E128" s="15">
        <v>0.05</v>
      </c>
      <c r="F128" s="15"/>
      <c r="G128" s="15"/>
      <c r="H128" s="15"/>
      <c r="I128" s="15">
        <v>0.05</v>
      </c>
      <c r="J128" s="37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"/>
    </row>
    <row r="129" spans="1:29" ht="31.5" x14ac:dyDescent="0.25">
      <c r="A129" s="83"/>
      <c r="B129" s="78"/>
      <c r="C129" s="527"/>
      <c r="D129" s="20" t="s">
        <v>46</v>
      </c>
      <c r="E129" s="13">
        <f>$E$31*E128</f>
        <v>398108.51</v>
      </c>
      <c r="F129" s="13"/>
      <c r="G129" s="13"/>
      <c r="H129" s="13"/>
      <c r="I129" s="13">
        <f>$I$31*I128</f>
        <v>819129.74000000011</v>
      </c>
      <c r="J129" s="37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"/>
    </row>
    <row r="130" spans="1:29" s="54" customFormat="1" ht="24" customHeight="1" x14ac:dyDescent="0.25">
      <c r="A130" s="83"/>
      <c r="B130" s="78"/>
      <c r="C130" s="527"/>
      <c r="D130" s="66" t="s">
        <v>84</v>
      </c>
      <c r="E130" s="53">
        <v>30</v>
      </c>
      <c r="F130" s="53"/>
      <c r="G130" s="53"/>
      <c r="H130" s="53"/>
      <c r="I130" s="53">
        <v>30</v>
      </c>
      <c r="J130" s="63"/>
      <c r="AC130" s="55"/>
    </row>
    <row r="131" spans="1:29" ht="21" customHeight="1" x14ac:dyDescent="0.25">
      <c r="A131" s="83"/>
      <c r="B131" s="78"/>
      <c r="C131" s="528"/>
      <c r="D131" s="66" t="s">
        <v>85</v>
      </c>
      <c r="E131" s="59">
        <f>$E$9+E130</f>
        <v>42121</v>
      </c>
      <c r="F131" s="59"/>
      <c r="G131" s="59"/>
      <c r="H131" s="59"/>
      <c r="I131" s="59">
        <f>$E$9+I130</f>
        <v>42121</v>
      </c>
      <c r="J131" s="37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"/>
    </row>
    <row r="132" spans="1:29" ht="34.5" customHeight="1" x14ac:dyDescent="0.25">
      <c r="A132" s="83"/>
      <c r="B132" s="78"/>
      <c r="C132" s="529" t="s">
        <v>47</v>
      </c>
      <c r="D132" s="75" t="s">
        <v>93</v>
      </c>
      <c r="E132" s="76">
        <f>IF(OR(E$23&lt;E127),IF(E$22&lt;E$6*0.9,E$22+0.1*E$6,IF(E$22&gt;1.1*E$6,E$22-0.1*E$6,E$6)),E$6)</f>
        <v>21.61</v>
      </c>
      <c r="F132" s="76"/>
      <c r="G132" s="76"/>
      <c r="H132" s="76"/>
      <c r="I132" s="76">
        <f>IF(OR(I$23&gt;I127,I$23=I127),IF(I$22&lt;I$6*0.9,I$22+0.1*I$6,IF(I$22&gt;1.1*I$6,I$22-0.1*I$6,I$6)),0)</f>
        <v>0</v>
      </c>
      <c r="J132" s="68"/>
      <c r="K132" s="70"/>
      <c r="L132" s="69">
        <f t="shared" ref="L132" si="17">IF(OR(K132&gt;0,M132&gt;0),1,0)</f>
        <v>0</v>
      </c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spans="1:29" ht="34.5" customHeight="1" x14ac:dyDescent="0.25">
      <c r="A133" s="83"/>
      <c r="B133" s="78"/>
      <c r="C133" s="527"/>
      <c r="D133" s="75" t="s">
        <v>92</v>
      </c>
      <c r="E133" s="15">
        <v>0.1</v>
      </c>
      <c r="F133" s="15"/>
      <c r="G133" s="15"/>
      <c r="H133" s="15"/>
      <c r="I133" s="76">
        <f>IF(OR(I$23&lt;I128),IF(I$22&lt;I$6*0.9,I$22+0.1*I$6,IF(I$22&gt;1.1*I$6,I$22-0.1*I$6,I$6)),I$6)</f>
        <v>28.6</v>
      </c>
      <c r="J133" s="68"/>
      <c r="K133" s="73"/>
      <c r="L133" s="74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spans="1:29" ht="31.5" x14ac:dyDescent="0.25">
      <c r="A134" s="83"/>
      <c r="B134" s="78"/>
      <c r="C134" s="527"/>
      <c r="D134" s="20" t="s">
        <v>55</v>
      </c>
      <c r="E134" s="21">
        <f>E$31/E$6*E132*E133</f>
        <v>1237859.6980000001</v>
      </c>
      <c r="F134" s="21"/>
      <c r="G134" s="21"/>
      <c r="H134" s="21"/>
      <c r="I134" s="21">
        <f>I$31/I$6*I132*I133</f>
        <v>0</v>
      </c>
      <c r="J134" s="37"/>
      <c r="K134" s="60"/>
      <c r="L134" s="6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83"/>
      <c r="B135" s="78"/>
      <c r="C135" s="527"/>
      <c r="D135" s="20" t="s">
        <v>44</v>
      </c>
      <c r="E135" s="21">
        <f>E134*0.18</f>
        <v>222814.74564000001</v>
      </c>
      <c r="F135" s="21"/>
      <c r="G135" s="21"/>
      <c r="H135" s="21"/>
      <c r="I135" s="21">
        <f>I134*0.18</f>
        <v>0</v>
      </c>
      <c r="J135" s="37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"/>
    </row>
    <row r="136" spans="1:29" x14ac:dyDescent="0.25">
      <c r="A136" s="83"/>
      <c r="B136" s="78"/>
      <c r="C136" s="527"/>
      <c r="D136" s="20" t="s">
        <v>67</v>
      </c>
      <c r="E136" s="61"/>
      <c r="F136" s="61"/>
      <c r="G136" s="61"/>
      <c r="H136" s="61"/>
      <c r="I136" s="62"/>
      <c r="J136" s="37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"/>
    </row>
    <row r="137" spans="1:29" ht="18" customHeight="1" x14ac:dyDescent="0.25">
      <c r="A137" s="83"/>
      <c r="B137" s="78"/>
      <c r="C137" s="528"/>
      <c r="D137" s="20" t="s">
        <v>89</v>
      </c>
      <c r="E137" s="23">
        <v>43235</v>
      </c>
      <c r="F137" s="23"/>
      <c r="G137" s="23"/>
      <c r="H137" s="23"/>
      <c r="I137" s="23">
        <v>43235</v>
      </c>
      <c r="J137" s="37"/>
      <c r="K137" s="60"/>
      <c r="L137" s="60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spans="1:29" ht="18" customHeight="1" x14ac:dyDescent="0.25">
      <c r="A138" s="83"/>
      <c r="B138" s="78"/>
      <c r="C138" s="530" t="s">
        <v>48</v>
      </c>
      <c r="D138" s="20" t="s">
        <v>56</v>
      </c>
      <c r="E138" s="21"/>
      <c r="F138" s="21"/>
      <c r="G138" s="21"/>
      <c r="H138" s="21"/>
      <c r="I138" s="21"/>
      <c r="J138" s="37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spans="1:29" ht="15.75" customHeight="1" x14ac:dyDescent="0.25">
      <c r="A139" s="83"/>
      <c r="B139" s="78"/>
      <c r="C139" s="530"/>
      <c r="D139" s="20" t="s">
        <v>57</v>
      </c>
      <c r="E139" s="21"/>
      <c r="F139" s="21"/>
      <c r="G139" s="21"/>
      <c r="H139" s="21"/>
      <c r="I139" s="21"/>
      <c r="J139" s="37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spans="1:29" ht="15.75" customHeight="1" x14ac:dyDescent="0.25">
      <c r="A140" s="83"/>
      <c r="B140" s="78"/>
      <c r="C140" s="534" t="s">
        <v>50</v>
      </c>
      <c r="D140" s="20" t="s">
        <v>41</v>
      </c>
      <c r="E140" s="3"/>
      <c r="F140" s="3"/>
      <c r="G140" s="3"/>
      <c r="H140" s="3"/>
      <c r="I140" s="3"/>
      <c r="J140" s="37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spans="1:29" ht="15.75" customHeight="1" x14ac:dyDescent="0.25">
      <c r="A141" s="83"/>
      <c r="B141" s="78"/>
      <c r="C141" s="534"/>
      <c r="D141" s="20" t="s">
        <v>62</v>
      </c>
      <c r="E141" s="23"/>
      <c r="F141" s="23"/>
      <c r="G141" s="23"/>
      <c r="H141" s="23"/>
      <c r="I141" s="23"/>
      <c r="J141" s="37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spans="1:29" ht="15.75" customHeight="1" x14ac:dyDescent="0.25">
      <c r="A142" s="83"/>
      <c r="B142" s="78"/>
      <c r="C142" s="535" t="s">
        <v>58</v>
      </c>
      <c r="D142" s="20" t="s">
        <v>63</v>
      </c>
      <c r="E142" s="3"/>
      <c r="F142" s="3"/>
      <c r="G142" s="3"/>
      <c r="H142" s="3"/>
      <c r="I142" s="3"/>
      <c r="J142" s="37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spans="1:29" ht="15.75" customHeight="1" x14ac:dyDescent="0.25">
      <c r="A143" s="83"/>
      <c r="B143" s="78"/>
      <c r="C143" s="535"/>
      <c r="D143" s="20" t="s">
        <v>59</v>
      </c>
      <c r="E143" s="23"/>
      <c r="F143" s="23"/>
      <c r="G143" s="23"/>
      <c r="H143" s="23"/>
      <c r="I143" s="23"/>
      <c r="J143" s="37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spans="1:29" ht="31.5" x14ac:dyDescent="0.25">
      <c r="A144" s="83"/>
      <c r="B144" s="78"/>
      <c r="C144" s="89"/>
      <c r="D144" s="20" t="s">
        <v>10</v>
      </c>
      <c r="E144" s="21" t="e">
        <f>$E$31*#REF!</f>
        <v>#REF!</v>
      </c>
      <c r="F144" s="21"/>
      <c r="G144" s="21"/>
      <c r="H144" s="21"/>
      <c r="I144" s="21" t="e">
        <f>$I$31*#REF!</f>
        <v>#REF!</v>
      </c>
      <c r="J144" s="37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83"/>
      <c r="B145" s="78"/>
      <c r="C145" s="89"/>
      <c r="D145" s="20" t="s">
        <v>11</v>
      </c>
      <c r="E145" s="21"/>
      <c r="F145" s="21"/>
      <c r="G145" s="21"/>
      <c r="H145" s="21"/>
      <c r="I145" s="21">
        <v>3494855</v>
      </c>
      <c r="J145" s="37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"/>
      <c r="AC145" s="2"/>
    </row>
    <row r="146" spans="1:29" x14ac:dyDescent="0.25">
      <c r="A146" s="83"/>
      <c r="B146" s="78"/>
      <c r="C146" s="89"/>
      <c r="D146" s="20" t="s">
        <v>0</v>
      </c>
      <c r="E146" s="3"/>
      <c r="F146" s="3"/>
      <c r="G146" s="3"/>
      <c r="H146" s="3"/>
      <c r="I146" s="28">
        <v>43272</v>
      </c>
      <c r="J146" s="37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83"/>
      <c r="B147" s="78"/>
      <c r="C147" s="89"/>
      <c r="D147" s="20" t="s">
        <v>2</v>
      </c>
      <c r="E147" s="3"/>
      <c r="F147" s="94"/>
      <c r="G147" s="94"/>
      <c r="H147" s="94"/>
      <c r="I147" s="72">
        <f>IF(OR(I$23&lt;4,I$23=4),IF(I$22&lt;I$6*0.9,I$22+0.1*I$6,IF(I$22&gt;1.1*I$6,I$22-0.1*I$6,I$6)),0)</f>
        <v>87.14</v>
      </c>
      <c r="J147" s="37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83"/>
      <c r="B148" s="78"/>
      <c r="C148" s="89"/>
      <c r="D148" s="20" t="s">
        <v>3</v>
      </c>
      <c r="E148" s="3"/>
      <c r="F148" s="3"/>
      <c r="G148" s="3"/>
      <c r="H148" s="3"/>
      <c r="I148" s="3"/>
      <c r="J148" s="37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83"/>
      <c r="B149" s="78"/>
      <c r="C149" s="89"/>
      <c r="D149" s="20" t="s">
        <v>1</v>
      </c>
      <c r="E149" s="3"/>
      <c r="F149" s="3"/>
      <c r="G149" s="3"/>
      <c r="H149" s="3"/>
      <c r="I149" s="3"/>
      <c r="J149" s="37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s="16" customFormat="1" x14ac:dyDescent="0.25">
      <c r="A150" s="83"/>
      <c r="B150" s="551" t="s">
        <v>15</v>
      </c>
      <c r="C150" s="89"/>
      <c r="D150" s="29"/>
      <c r="E150" s="30">
        <v>2.5000000000000001E-2</v>
      </c>
      <c r="F150" s="30"/>
      <c r="G150" s="30"/>
      <c r="H150" s="30"/>
      <c r="I150" s="30">
        <v>2.5000000000000001E-2</v>
      </c>
      <c r="J150" s="35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15.75" customHeight="1" x14ac:dyDescent="0.25">
      <c r="A151" s="83"/>
      <c r="B151" s="552"/>
      <c r="C151" s="529" t="s">
        <v>45</v>
      </c>
      <c r="D151" s="49" t="s">
        <v>91</v>
      </c>
      <c r="E151" s="13">
        <v>1</v>
      </c>
      <c r="F151" s="13"/>
      <c r="G151" s="13"/>
      <c r="H151" s="13"/>
      <c r="I151" s="13">
        <v>1</v>
      </c>
      <c r="J151" s="37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"/>
    </row>
    <row r="152" spans="1:29" ht="31.5" customHeight="1" x14ac:dyDescent="0.25">
      <c r="A152" s="83"/>
      <c r="B152" s="552"/>
      <c r="C152" s="527"/>
      <c r="D152" s="65" t="s">
        <v>88</v>
      </c>
      <c r="E152" s="15">
        <v>0.1</v>
      </c>
      <c r="F152" s="15"/>
      <c r="G152" s="15"/>
      <c r="H152" s="15"/>
      <c r="I152" s="15">
        <v>0.1</v>
      </c>
      <c r="J152" s="37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"/>
    </row>
    <row r="153" spans="1:29" ht="31.5" x14ac:dyDescent="0.25">
      <c r="A153" s="83"/>
      <c r="B153" s="552"/>
      <c r="C153" s="527"/>
      <c r="D153" s="20" t="s">
        <v>46</v>
      </c>
      <c r="E153" s="13">
        <f>$E$31*E152</f>
        <v>796217.02</v>
      </c>
      <c r="F153" s="13"/>
      <c r="G153" s="13"/>
      <c r="H153" s="13"/>
      <c r="I153" s="13">
        <f>$I$31*I152</f>
        <v>1638259.4800000002</v>
      </c>
      <c r="J153" s="37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"/>
    </row>
    <row r="154" spans="1:29" s="54" customFormat="1" ht="24" customHeight="1" x14ac:dyDescent="0.25">
      <c r="A154" s="83"/>
      <c r="B154" s="552"/>
      <c r="C154" s="527"/>
      <c r="D154" s="66" t="s">
        <v>84</v>
      </c>
      <c r="E154" s="53">
        <v>30</v>
      </c>
      <c r="F154" s="53"/>
      <c r="G154" s="53"/>
      <c r="H154" s="53"/>
      <c r="I154" s="53">
        <v>30</v>
      </c>
      <c r="J154" s="63"/>
      <c r="AC154" s="55"/>
    </row>
    <row r="155" spans="1:29" ht="21" customHeight="1" x14ac:dyDescent="0.25">
      <c r="A155" s="83"/>
      <c r="B155" s="552"/>
      <c r="C155" s="528"/>
      <c r="D155" s="66" t="s">
        <v>85</v>
      </c>
      <c r="E155" s="59">
        <f>$E$9+E154</f>
        <v>42121</v>
      </c>
      <c r="F155" s="59"/>
      <c r="G155" s="59"/>
      <c r="H155" s="59"/>
      <c r="I155" s="59">
        <f>$E$9+I154</f>
        <v>42121</v>
      </c>
      <c r="J155" s="37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"/>
    </row>
    <row r="156" spans="1:29" ht="34.5" customHeight="1" x14ac:dyDescent="0.25">
      <c r="A156" s="83"/>
      <c r="B156" s="552"/>
      <c r="C156" s="529" t="s">
        <v>47</v>
      </c>
      <c r="D156" s="75" t="s">
        <v>93</v>
      </c>
      <c r="E156" s="76">
        <f>IF(OR(E$23&gt;E151,E$23=E151),IF(E$22&lt;E$6*0.9,E$22+0.1*E$6,IF(E$22&gt;1.1*E$6,E$22-0.1*E$6,E$6)),0)</f>
        <v>21.61</v>
      </c>
      <c r="F156" s="76"/>
      <c r="G156" s="76"/>
      <c r="H156" s="76"/>
      <c r="I156" s="76">
        <f>IF(OR(I$23&gt;I151,I$23=I151),IF(I$22&lt;I$6*0.9,I$22+0.1*I$6,IF(I$22&gt;1.1*I$6,I$22-0.1*I$6,I$6)),0)</f>
        <v>87.14</v>
      </c>
      <c r="J156" s="68"/>
      <c r="K156" s="70"/>
      <c r="L156" s="69">
        <f t="shared" ref="L156" si="18">IF(OR(K156&gt;0,M156&gt;0),1,0)</f>
        <v>0</v>
      </c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spans="1:29" ht="34.5" customHeight="1" x14ac:dyDescent="0.25">
      <c r="A157" s="83"/>
      <c r="B157" s="552"/>
      <c r="C157" s="527"/>
      <c r="D157" s="75" t="s">
        <v>92</v>
      </c>
      <c r="E157" s="15">
        <v>0.1</v>
      </c>
      <c r="F157" s="15"/>
      <c r="G157" s="15"/>
      <c r="H157" s="15"/>
      <c r="I157" s="15">
        <v>0.1</v>
      </c>
      <c r="J157" s="68"/>
      <c r="K157" s="73"/>
      <c r="L157" s="74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spans="1:29" ht="31.5" x14ac:dyDescent="0.25">
      <c r="A158" s="83"/>
      <c r="B158" s="552"/>
      <c r="C158" s="527"/>
      <c r="D158" s="20" t="s">
        <v>55</v>
      </c>
      <c r="E158" s="21">
        <f>E$31/E$6*E156*E157</f>
        <v>1237859.6980000001</v>
      </c>
      <c r="F158" s="21"/>
      <c r="G158" s="21"/>
      <c r="H158" s="21"/>
      <c r="I158" s="21">
        <f>I$31/I$6*I156*I157</f>
        <v>4991536.0520000001</v>
      </c>
      <c r="J158" s="37"/>
      <c r="K158" s="60"/>
      <c r="L158" s="6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83"/>
      <c r="B159" s="552"/>
      <c r="C159" s="527"/>
      <c r="D159" s="20" t="s">
        <v>44</v>
      </c>
      <c r="E159" s="21">
        <f>E158*0.18</f>
        <v>222814.74564000001</v>
      </c>
      <c r="F159" s="21"/>
      <c r="G159" s="21"/>
      <c r="H159" s="21"/>
      <c r="I159" s="21">
        <f>I158*0.18</f>
        <v>898476.48936000001</v>
      </c>
      <c r="J159" s="37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"/>
    </row>
    <row r="160" spans="1:29" ht="45" x14ac:dyDescent="0.25">
      <c r="A160" s="83"/>
      <c r="B160" s="552"/>
      <c r="C160" s="527"/>
      <c r="D160" s="20" t="s">
        <v>67</v>
      </c>
      <c r="E160" s="61" t="s">
        <v>94</v>
      </c>
      <c r="F160" s="61"/>
      <c r="G160" s="61"/>
      <c r="H160" s="61"/>
      <c r="I160" s="62" t="s">
        <v>87</v>
      </c>
      <c r="J160" s="37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"/>
    </row>
    <row r="161" spans="1:29" ht="18" customHeight="1" x14ac:dyDescent="0.25">
      <c r="A161" s="83"/>
      <c r="B161" s="552"/>
      <c r="C161" s="528"/>
      <c r="D161" s="20" t="s">
        <v>89</v>
      </c>
      <c r="E161" s="23">
        <v>43235</v>
      </c>
      <c r="F161" s="23"/>
      <c r="G161" s="23"/>
      <c r="H161" s="23"/>
      <c r="I161" s="23">
        <v>43235</v>
      </c>
      <c r="J161" s="37"/>
      <c r="K161" s="60"/>
      <c r="L161" s="60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spans="1:29" ht="18" customHeight="1" x14ac:dyDescent="0.25">
      <c r="A162" s="83"/>
      <c r="B162" s="552"/>
      <c r="C162" s="530" t="s">
        <v>48</v>
      </c>
      <c r="D162" s="20" t="s">
        <v>56</v>
      </c>
      <c r="E162" s="21"/>
      <c r="F162" s="21"/>
      <c r="G162" s="21"/>
      <c r="H162" s="21"/>
      <c r="I162" s="21"/>
      <c r="J162" s="37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spans="1:29" ht="15.75" customHeight="1" x14ac:dyDescent="0.25">
      <c r="A163" s="83"/>
      <c r="B163" s="552"/>
      <c r="C163" s="530"/>
      <c r="D163" s="20" t="s">
        <v>57</v>
      </c>
      <c r="E163" s="21"/>
      <c r="F163" s="21"/>
      <c r="G163" s="21"/>
      <c r="H163" s="21"/>
      <c r="I163" s="21"/>
      <c r="J163" s="37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spans="1:29" ht="15.75" customHeight="1" x14ac:dyDescent="0.25">
      <c r="A164" s="83"/>
      <c r="B164" s="552"/>
      <c r="C164" s="534" t="s">
        <v>50</v>
      </c>
      <c r="D164" s="20" t="s">
        <v>41</v>
      </c>
      <c r="E164" s="3"/>
      <c r="F164" s="3"/>
      <c r="G164" s="3"/>
      <c r="H164" s="3"/>
      <c r="I164" s="3"/>
      <c r="J164" s="37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spans="1:29" ht="15.75" customHeight="1" x14ac:dyDescent="0.25">
      <c r="A165" s="83"/>
      <c r="B165" s="552"/>
      <c r="C165" s="534"/>
      <c r="D165" s="20" t="s">
        <v>62</v>
      </c>
      <c r="E165" s="23"/>
      <c r="F165" s="23"/>
      <c r="G165" s="23"/>
      <c r="H165" s="23"/>
      <c r="I165" s="23"/>
      <c r="J165" s="37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spans="1:29" ht="15.75" customHeight="1" x14ac:dyDescent="0.25">
      <c r="A166" s="83"/>
      <c r="B166" s="552"/>
      <c r="C166" s="535" t="s">
        <v>58</v>
      </c>
      <c r="D166" s="20" t="s">
        <v>63</v>
      </c>
      <c r="E166" s="3"/>
      <c r="F166" s="3"/>
      <c r="G166" s="3"/>
      <c r="H166" s="3"/>
      <c r="I166" s="3"/>
      <c r="J166" s="37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spans="1:29" ht="15.75" customHeight="1" x14ac:dyDescent="0.25">
      <c r="A167" s="83"/>
      <c r="B167" s="552"/>
      <c r="C167" s="535"/>
      <c r="D167" s="20" t="s">
        <v>59</v>
      </c>
      <c r="E167" s="23"/>
      <c r="F167" s="23"/>
      <c r="G167" s="23"/>
      <c r="H167" s="23"/>
      <c r="I167" s="23"/>
      <c r="J167" s="37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spans="1:29" ht="31.5" x14ac:dyDescent="0.25">
      <c r="A168" s="83"/>
      <c r="B168" s="552"/>
      <c r="C168" s="89"/>
      <c r="D168" s="20" t="s">
        <v>10</v>
      </c>
      <c r="E168" s="21">
        <f>$E$31*E150</f>
        <v>199054.255</v>
      </c>
      <c r="F168" s="21"/>
      <c r="G168" s="21"/>
      <c r="H168" s="21"/>
      <c r="I168" s="21">
        <f>$I$31*I150</f>
        <v>409564.87000000005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83"/>
      <c r="B169" s="552"/>
      <c r="C169" s="89"/>
      <c r="D169" s="20" t="s">
        <v>11</v>
      </c>
      <c r="E169" s="21"/>
      <c r="F169" s="21"/>
      <c r="G169" s="21"/>
      <c r="H169" s="21"/>
      <c r="I169" s="21">
        <v>1747427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83"/>
      <c r="B170" s="552"/>
      <c r="C170" s="89"/>
      <c r="D170" s="20" t="s">
        <v>0</v>
      </c>
      <c r="E170" s="28"/>
      <c r="F170" s="28"/>
      <c r="G170" s="28"/>
      <c r="H170" s="28"/>
      <c r="I170" s="28">
        <v>43360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83"/>
      <c r="B171" s="552"/>
      <c r="C171" s="89"/>
      <c r="D171" s="20" t="s">
        <v>2</v>
      </c>
      <c r="E171" s="3"/>
      <c r="F171" s="3"/>
      <c r="G171" s="3"/>
      <c r="H171" s="3"/>
      <c r="I171" s="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31.5" x14ac:dyDescent="0.25">
      <c r="A172" s="83"/>
      <c r="B172" s="552"/>
      <c r="C172" s="89"/>
      <c r="D172" s="20" t="s">
        <v>3</v>
      </c>
      <c r="E172" s="3"/>
      <c r="F172" s="3"/>
      <c r="G172" s="3"/>
      <c r="H172" s="3"/>
      <c r="I172" s="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83"/>
      <c r="B173" s="553"/>
      <c r="C173" s="89"/>
      <c r="D173" s="20" t="s">
        <v>1</v>
      </c>
      <c r="E173" s="3"/>
      <c r="F173" s="3"/>
      <c r="G173" s="3"/>
      <c r="H173" s="3"/>
      <c r="I173" s="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s="16" customFormat="1" x14ac:dyDescent="0.25">
      <c r="A174" s="83"/>
      <c r="B174" s="550" t="s">
        <v>16</v>
      </c>
      <c r="C174" s="89"/>
      <c r="D174" s="14"/>
      <c r="E174" s="27">
        <v>0.05</v>
      </c>
      <c r="F174" s="27"/>
      <c r="G174" s="27"/>
      <c r="H174" s="27"/>
      <c r="I174" s="27">
        <v>0.05</v>
      </c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15.75" customHeight="1" x14ac:dyDescent="0.25">
      <c r="A175" s="83"/>
      <c r="B175" s="550"/>
      <c r="C175" s="529" t="s">
        <v>45</v>
      </c>
      <c r="D175" s="49" t="s">
        <v>91</v>
      </c>
      <c r="E175" s="13">
        <v>1</v>
      </c>
      <c r="F175" s="13"/>
      <c r="G175" s="13"/>
      <c r="H175" s="13"/>
      <c r="I175" s="13">
        <v>1</v>
      </c>
      <c r="J175" s="37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"/>
    </row>
    <row r="176" spans="1:29" ht="31.5" customHeight="1" x14ac:dyDescent="0.25">
      <c r="A176" s="83"/>
      <c r="B176" s="550"/>
      <c r="C176" s="527"/>
      <c r="D176" s="65" t="s">
        <v>88</v>
      </c>
      <c r="E176" s="15">
        <v>0.1</v>
      </c>
      <c r="F176" s="15"/>
      <c r="G176" s="15"/>
      <c r="H176" s="15"/>
      <c r="I176" s="15">
        <v>0.1</v>
      </c>
      <c r="J176" s="37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"/>
    </row>
    <row r="177" spans="1:29" ht="31.5" x14ac:dyDescent="0.25">
      <c r="A177" s="83"/>
      <c r="B177" s="550"/>
      <c r="C177" s="527"/>
      <c r="D177" s="20" t="s">
        <v>46</v>
      </c>
      <c r="E177" s="13">
        <f>$E$31*E176</f>
        <v>796217.02</v>
      </c>
      <c r="F177" s="13"/>
      <c r="G177" s="13"/>
      <c r="H177" s="13"/>
      <c r="I177" s="13">
        <f>$I$31*I176</f>
        <v>1638259.4800000002</v>
      </c>
      <c r="J177" s="37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"/>
    </row>
    <row r="178" spans="1:29" s="54" customFormat="1" ht="24" customHeight="1" x14ac:dyDescent="0.25">
      <c r="A178" s="83"/>
      <c r="B178" s="550"/>
      <c r="C178" s="527"/>
      <c r="D178" s="66" t="s">
        <v>84</v>
      </c>
      <c r="E178" s="53">
        <v>30</v>
      </c>
      <c r="F178" s="53"/>
      <c r="G178" s="53"/>
      <c r="H178" s="53"/>
      <c r="I178" s="53">
        <v>30</v>
      </c>
      <c r="J178" s="63"/>
      <c r="AC178" s="55"/>
    </row>
    <row r="179" spans="1:29" ht="21" customHeight="1" x14ac:dyDescent="0.25">
      <c r="A179" s="83"/>
      <c r="B179" s="550"/>
      <c r="C179" s="528"/>
      <c r="D179" s="66" t="s">
        <v>85</v>
      </c>
      <c r="E179" s="59">
        <f>$E$9+E178</f>
        <v>42121</v>
      </c>
      <c r="F179" s="59"/>
      <c r="G179" s="59"/>
      <c r="H179" s="59"/>
      <c r="I179" s="59">
        <f>$E$9+I178</f>
        <v>42121</v>
      </c>
      <c r="J179" s="37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"/>
    </row>
    <row r="180" spans="1:29" ht="34.5" customHeight="1" x14ac:dyDescent="0.25">
      <c r="A180" s="83"/>
      <c r="B180" s="550"/>
      <c r="C180" s="529" t="s">
        <v>47</v>
      </c>
      <c r="D180" s="75" t="s">
        <v>93</v>
      </c>
      <c r="E180" s="76">
        <f>IF(OR(E$23&gt;E175,E$23=E175),IF(E$22&lt;E$6*0.9,E$22+0.1*E$6,IF(E$22&gt;1.1*E$6,E$22-0.1*E$6,E$6)),0)</f>
        <v>21.61</v>
      </c>
      <c r="F180" s="76"/>
      <c r="G180" s="76"/>
      <c r="H180" s="76"/>
      <c r="I180" s="76">
        <f>IF(OR(I$23&gt;I175,I$23=I175),IF(I$22&lt;I$6*0.9,I$22+0.1*I$6,IF(I$22&gt;1.1*I$6,I$22-0.1*I$6,I$6)),0)</f>
        <v>87.14</v>
      </c>
      <c r="J180" s="68"/>
      <c r="K180" s="70"/>
      <c r="L180" s="69">
        <f t="shared" ref="L180" si="19">IF(OR(K180&gt;0,M180&gt;0),1,0)</f>
        <v>0</v>
      </c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spans="1:29" ht="34.5" customHeight="1" x14ac:dyDescent="0.25">
      <c r="A181" s="83"/>
      <c r="B181" s="550"/>
      <c r="C181" s="527"/>
      <c r="D181" s="75" t="s">
        <v>92</v>
      </c>
      <c r="E181" s="15">
        <v>0.1</v>
      </c>
      <c r="F181" s="15"/>
      <c r="G181" s="15"/>
      <c r="H181" s="15"/>
      <c r="I181" s="15">
        <v>0.1</v>
      </c>
      <c r="J181" s="68"/>
      <c r="K181" s="73"/>
      <c r="L181" s="74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spans="1:29" ht="31.5" x14ac:dyDescent="0.25">
      <c r="A182" s="83"/>
      <c r="B182" s="550"/>
      <c r="C182" s="527"/>
      <c r="D182" s="20" t="s">
        <v>55</v>
      </c>
      <c r="E182" s="21">
        <f>E$31/E$6*E180*E181</f>
        <v>1237859.6980000001</v>
      </c>
      <c r="F182" s="21"/>
      <c r="G182" s="21"/>
      <c r="H182" s="21"/>
      <c r="I182" s="21">
        <f>I$31/I$6*I180*I181</f>
        <v>4991536.0520000001</v>
      </c>
      <c r="J182" s="37"/>
      <c r="K182" s="60"/>
      <c r="L182" s="6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83"/>
      <c r="B183" s="550"/>
      <c r="C183" s="527"/>
      <c r="D183" s="20" t="s">
        <v>44</v>
      </c>
      <c r="E183" s="21">
        <f>E182*0.18</f>
        <v>222814.74564000001</v>
      </c>
      <c r="F183" s="21"/>
      <c r="G183" s="21"/>
      <c r="H183" s="21"/>
      <c r="I183" s="21">
        <f>I182*0.18</f>
        <v>898476.48936000001</v>
      </c>
      <c r="J183" s="37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"/>
    </row>
    <row r="184" spans="1:29" ht="45" x14ac:dyDescent="0.25">
      <c r="A184" s="83"/>
      <c r="B184" s="550"/>
      <c r="C184" s="527"/>
      <c r="D184" s="20" t="s">
        <v>67</v>
      </c>
      <c r="E184" s="61" t="s">
        <v>94</v>
      </c>
      <c r="F184" s="61"/>
      <c r="G184" s="61"/>
      <c r="H184" s="61"/>
      <c r="I184" s="62" t="s">
        <v>87</v>
      </c>
      <c r="J184" s="37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"/>
    </row>
    <row r="185" spans="1:29" ht="18" customHeight="1" x14ac:dyDescent="0.25">
      <c r="A185" s="83"/>
      <c r="B185" s="550"/>
      <c r="C185" s="528"/>
      <c r="D185" s="20" t="s">
        <v>89</v>
      </c>
      <c r="E185" s="23">
        <v>43235</v>
      </c>
      <c r="F185" s="23"/>
      <c r="G185" s="23"/>
      <c r="H185" s="23"/>
      <c r="I185" s="23">
        <v>43235</v>
      </c>
      <c r="J185" s="37"/>
      <c r="K185" s="60"/>
      <c r="L185" s="60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spans="1:29" ht="18" customHeight="1" x14ac:dyDescent="0.25">
      <c r="A186" s="83"/>
      <c r="B186" s="550"/>
      <c r="C186" s="530" t="s">
        <v>48</v>
      </c>
      <c r="D186" s="20" t="s">
        <v>56</v>
      </c>
      <c r="E186" s="21"/>
      <c r="F186" s="21"/>
      <c r="G186" s="21"/>
      <c r="H186" s="21"/>
      <c r="I186" s="21"/>
      <c r="J186" s="37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spans="1:29" ht="15.75" customHeight="1" x14ac:dyDescent="0.25">
      <c r="A187" s="83"/>
      <c r="B187" s="550"/>
      <c r="C187" s="530"/>
      <c r="D187" s="20" t="s">
        <v>57</v>
      </c>
      <c r="E187" s="21"/>
      <c r="F187" s="21"/>
      <c r="G187" s="21"/>
      <c r="H187" s="21"/>
      <c r="I187" s="21"/>
      <c r="J187" s="37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spans="1:29" ht="15.75" customHeight="1" x14ac:dyDescent="0.25">
      <c r="A188" s="83"/>
      <c r="B188" s="550"/>
      <c r="C188" s="534" t="s">
        <v>50</v>
      </c>
      <c r="D188" s="20" t="s">
        <v>41</v>
      </c>
      <c r="E188" s="3"/>
      <c r="F188" s="3"/>
      <c r="G188" s="3"/>
      <c r="H188" s="3"/>
      <c r="I188" s="3"/>
      <c r="J188" s="37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spans="1:29" ht="15.75" customHeight="1" x14ac:dyDescent="0.25">
      <c r="A189" s="83"/>
      <c r="B189" s="550"/>
      <c r="C189" s="534"/>
      <c r="D189" s="20" t="s">
        <v>62</v>
      </c>
      <c r="E189" s="23"/>
      <c r="F189" s="23"/>
      <c r="G189" s="23"/>
      <c r="H189" s="23"/>
      <c r="I189" s="23"/>
      <c r="J189" s="37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spans="1:29" ht="15.75" customHeight="1" x14ac:dyDescent="0.25">
      <c r="A190" s="83"/>
      <c r="B190" s="550"/>
      <c r="C190" s="535" t="s">
        <v>58</v>
      </c>
      <c r="D190" s="20" t="s">
        <v>63</v>
      </c>
      <c r="E190" s="3"/>
      <c r="F190" s="3"/>
      <c r="G190" s="3"/>
      <c r="H190" s="3"/>
      <c r="I190" s="3"/>
      <c r="J190" s="37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spans="1:29" ht="15.75" customHeight="1" x14ac:dyDescent="0.25">
      <c r="A191" s="83"/>
      <c r="B191" s="550"/>
      <c r="C191" s="535"/>
      <c r="D191" s="20" t="s">
        <v>59</v>
      </c>
      <c r="E191" s="23"/>
      <c r="F191" s="23"/>
      <c r="G191" s="23"/>
      <c r="H191" s="23"/>
      <c r="I191" s="23"/>
      <c r="J191" s="37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spans="1:29" ht="31.5" x14ac:dyDescent="0.25">
      <c r="A192" s="83"/>
      <c r="B192" s="550"/>
      <c r="C192" s="89"/>
      <c r="D192" s="20" t="s">
        <v>10</v>
      </c>
      <c r="E192" s="21">
        <f>$E$31*I174</f>
        <v>398108.51</v>
      </c>
      <c r="F192" s="21"/>
      <c r="G192" s="21"/>
      <c r="H192" s="21"/>
      <c r="I192" s="21">
        <f>$I$31*I174</f>
        <v>819129.74000000011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83"/>
      <c r="B193" s="550"/>
      <c r="C193" s="89"/>
      <c r="D193" s="20" t="s">
        <v>11</v>
      </c>
      <c r="E193" s="21"/>
      <c r="F193" s="21"/>
      <c r="G193" s="21"/>
      <c r="H193" s="21"/>
      <c r="I193" s="21">
        <v>2096913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83"/>
      <c r="B194" s="550"/>
      <c r="C194" s="89"/>
      <c r="D194" s="20" t="s">
        <v>0</v>
      </c>
      <c r="E194" s="3"/>
      <c r="F194" s="3"/>
      <c r="G194" s="3"/>
      <c r="H194" s="3"/>
      <c r="I194" s="28">
        <v>43522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83"/>
      <c r="B195" s="550"/>
      <c r="C195" s="89"/>
      <c r="D195" s="20" t="s">
        <v>2</v>
      </c>
      <c r="E195" s="3"/>
      <c r="F195" s="3"/>
      <c r="G195" s="3"/>
      <c r="H195" s="3"/>
      <c r="I195" s="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31.5" x14ac:dyDescent="0.25">
      <c r="A196" s="83"/>
      <c r="B196" s="550"/>
      <c r="C196" s="89"/>
      <c r="D196" s="20" t="s">
        <v>3</v>
      </c>
      <c r="E196" s="3"/>
      <c r="F196" s="3"/>
      <c r="G196" s="3"/>
      <c r="H196" s="3"/>
      <c r="I196" s="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83"/>
      <c r="B197" s="550"/>
      <c r="C197" s="89"/>
      <c r="D197" s="20" t="s">
        <v>1</v>
      </c>
      <c r="E197" s="3"/>
      <c r="F197" s="3"/>
      <c r="G197" s="3"/>
      <c r="H197" s="3"/>
      <c r="I197" s="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s="16" customFormat="1" x14ac:dyDescent="0.25">
      <c r="A198" s="83"/>
      <c r="B198" s="550" t="s">
        <v>17</v>
      </c>
      <c r="C198" s="89"/>
      <c r="D198" s="14"/>
      <c r="E198" s="27">
        <v>0.1</v>
      </c>
      <c r="F198" s="27"/>
      <c r="G198" s="27"/>
      <c r="H198" s="27"/>
      <c r="I198" s="27">
        <v>0.1</v>
      </c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15.75" customHeight="1" x14ac:dyDescent="0.25">
      <c r="A199" s="83"/>
      <c r="B199" s="550"/>
      <c r="C199" s="529" t="s">
        <v>45</v>
      </c>
      <c r="D199" s="49" t="s">
        <v>91</v>
      </c>
      <c r="E199" s="13">
        <v>1</v>
      </c>
      <c r="F199" s="13"/>
      <c r="G199" s="13"/>
      <c r="H199" s="13"/>
      <c r="I199" s="13">
        <v>1</v>
      </c>
      <c r="J199" s="37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"/>
    </row>
    <row r="200" spans="1:29" ht="31.5" customHeight="1" x14ac:dyDescent="0.25">
      <c r="A200" s="83"/>
      <c r="B200" s="550"/>
      <c r="C200" s="527"/>
      <c r="D200" s="65" t="s">
        <v>88</v>
      </c>
      <c r="E200" s="15">
        <v>0.1</v>
      </c>
      <c r="F200" s="15"/>
      <c r="G200" s="15"/>
      <c r="H200" s="15"/>
      <c r="I200" s="15">
        <v>0.1</v>
      </c>
      <c r="J200" s="37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"/>
    </row>
    <row r="201" spans="1:29" ht="31.5" x14ac:dyDescent="0.25">
      <c r="A201" s="83"/>
      <c r="B201" s="550"/>
      <c r="C201" s="527"/>
      <c r="D201" s="20" t="s">
        <v>46</v>
      </c>
      <c r="E201" s="13">
        <f>$E$31*E200</f>
        <v>796217.02</v>
      </c>
      <c r="F201" s="13"/>
      <c r="G201" s="13"/>
      <c r="H201" s="13"/>
      <c r="I201" s="13">
        <f>$I$31*I200</f>
        <v>1638259.4800000002</v>
      </c>
      <c r="J201" s="37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"/>
    </row>
    <row r="202" spans="1:29" s="54" customFormat="1" ht="24" customHeight="1" x14ac:dyDescent="0.25">
      <c r="A202" s="83"/>
      <c r="B202" s="550"/>
      <c r="C202" s="527"/>
      <c r="D202" s="66" t="s">
        <v>84</v>
      </c>
      <c r="E202" s="53">
        <v>30</v>
      </c>
      <c r="F202" s="53"/>
      <c r="G202" s="53"/>
      <c r="H202" s="53"/>
      <c r="I202" s="53">
        <v>30</v>
      </c>
      <c r="J202" s="63"/>
      <c r="AC202" s="55"/>
    </row>
    <row r="203" spans="1:29" ht="21" customHeight="1" x14ac:dyDescent="0.25">
      <c r="A203" s="83"/>
      <c r="B203" s="550"/>
      <c r="C203" s="528"/>
      <c r="D203" s="66" t="s">
        <v>85</v>
      </c>
      <c r="E203" s="59">
        <f>$E$9+E202</f>
        <v>42121</v>
      </c>
      <c r="F203" s="59"/>
      <c r="G203" s="59"/>
      <c r="H203" s="59"/>
      <c r="I203" s="59">
        <f>$E$9+I202</f>
        <v>42121</v>
      </c>
      <c r="J203" s="37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"/>
    </row>
    <row r="204" spans="1:29" ht="34.5" customHeight="1" x14ac:dyDescent="0.25">
      <c r="A204" s="83"/>
      <c r="B204" s="550"/>
      <c r="C204" s="529" t="s">
        <v>47</v>
      </c>
      <c r="D204" s="75" t="s">
        <v>93</v>
      </c>
      <c r="E204" s="76">
        <f>IF(OR(E$23&gt;E199,E$23=E199),IF(E$22&lt;E$6*0.9,E$22+0.1*E$6,IF(E$22&gt;1.1*E$6,E$22-0.1*E$6,E$6)),0)</f>
        <v>21.61</v>
      </c>
      <c r="F204" s="76"/>
      <c r="G204" s="76"/>
      <c r="H204" s="76"/>
      <c r="I204" s="76">
        <f>IF(OR(I$23&gt;I199,I$23=I199),IF(I$22&lt;I$6*0.9,I$22+0.1*I$6,IF(I$22&gt;1.1*I$6,I$22-0.1*I$6,I$6)),0)</f>
        <v>87.14</v>
      </c>
      <c r="J204" s="68"/>
      <c r="K204" s="70"/>
      <c r="L204" s="69">
        <f t="shared" ref="L204" si="20">IF(OR(K204&gt;0,M204&gt;0),1,0)</f>
        <v>0</v>
      </c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spans="1:29" ht="34.5" customHeight="1" x14ac:dyDescent="0.25">
      <c r="A205" s="83"/>
      <c r="B205" s="550"/>
      <c r="C205" s="527"/>
      <c r="D205" s="75" t="s">
        <v>92</v>
      </c>
      <c r="E205" s="15">
        <v>0.1</v>
      </c>
      <c r="F205" s="15"/>
      <c r="G205" s="15"/>
      <c r="H205" s="15"/>
      <c r="I205" s="15">
        <v>0.1</v>
      </c>
      <c r="J205" s="68"/>
      <c r="K205" s="73"/>
      <c r="L205" s="74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spans="1:29" ht="31.5" x14ac:dyDescent="0.25">
      <c r="A206" s="83"/>
      <c r="B206" s="550"/>
      <c r="C206" s="527"/>
      <c r="D206" s="20" t="s">
        <v>55</v>
      </c>
      <c r="E206" s="21">
        <f>E$31/E$6*E204*E205</f>
        <v>1237859.6980000001</v>
      </c>
      <c r="F206" s="21"/>
      <c r="G206" s="21"/>
      <c r="H206" s="21"/>
      <c r="I206" s="21">
        <f>I$31/I$6*I204*I205</f>
        <v>4991536.0520000001</v>
      </c>
      <c r="J206" s="37"/>
      <c r="K206" s="60"/>
      <c r="L206" s="6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83"/>
      <c r="B207" s="550"/>
      <c r="C207" s="527"/>
      <c r="D207" s="20" t="s">
        <v>44</v>
      </c>
      <c r="E207" s="21">
        <f>E206*0.18</f>
        <v>222814.74564000001</v>
      </c>
      <c r="F207" s="21"/>
      <c r="G207" s="21"/>
      <c r="H207" s="21"/>
      <c r="I207" s="21">
        <f>I206*0.18</f>
        <v>898476.48936000001</v>
      </c>
      <c r="J207" s="37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"/>
    </row>
    <row r="208" spans="1:29" ht="45" x14ac:dyDescent="0.25">
      <c r="A208" s="83"/>
      <c r="B208" s="550"/>
      <c r="C208" s="527"/>
      <c r="D208" s="20" t="s">
        <v>67</v>
      </c>
      <c r="E208" s="61" t="s">
        <v>94</v>
      </c>
      <c r="F208" s="61"/>
      <c r="G208" s="61"/>
      <c r="H208" s="61"/>
      <c r="I208" s="62" t="s">
        <v>87</v>
      </c>
      <c r="J208" s="37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"/>
    </row>
    <row r="209" spans="1:29" ht="18" customHeight="1" x14ac:dyDescent="0.25">
      <c r="A209" s="83"/>
      <c r="B209" s="550"/>
      <c r="C209" s="528"/>
      <c r="D209" s="20" t="s">
        <v>89</v>
      </c>
      <c r="E209" s="23">
        <v>43235</v>
      </c>
      <c r="F209" s="23"/>
      <c r="G209" s="23"/>
      <c r="H209" s="23"/>
      <c r="I209" s="23">
        <v>43235</v>
      </c>
      <c r="J209" s="37"/>
      <c r="K209" s="60"/>
      <c r="L209" s="60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spans="1:29" ht="18" customHeight="1" x14ac:dyDescent="0.25">
      <c r="A210" s="83"/>
      <c r="B210" s="550"/>
      <c r="C210" s="530" t="s">
        <v>48</v>
      </c>
      <c r="D210" s="20" t="s">
        <v>56</v>
      </c>
      <c r="E210" s="21"/>
      <c r="F210" s="21"/>
      <c r="G210" s="21"/>
      <c r="H210" s="21"/>
      <c r="I210" s="21"/>
      <c r="J210" s="37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spans="1:29" ht="15.75" customHeight="1" x14ac:dyDescent="0.25">
      <c r="A211" s="83"/>
      <c r="B211" s="550"/>
      <c r="C211" s="530"/>
      <c r="D211" s="20" t="s">
        <v>57</v>
      </c>
      <c r="E211" s="21"/>
      <c r="F211" s="21"/>
      <c r="G211" s="21"/>
      <c r="H211" s="21"/>
      <c r="I211" s="21"/>
      <c r="J211" s="37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spans="1:29" ht="15.75" customHeight="1" x14ac:dyDescent="0.25">
      <c r="A212" s="83"/>
      <c r="B212" s="550"/>
      <c r="C212" s="534" t="s">
        <v>50</v>
      </c>
      <c r="D212" s="20" t="s">
        <v>41</v>
      </c>
      <c r="E212" s="3"/>
      <c r="F212" s="3"/>
      <c r="G212" s="3"/>
      <c r="H212" s="3"/>
      <c r="I212" s="3"/>
      <c r="J212" s="37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spans="1:29" ht="15.75" customHeight="1" x14ac:dyDescent="0.25">
      <c r="A213" s="83"/>
      <c r="B213" s="550"/>
      <c r="C213" s="534"/>
      <c r="D213" s="20" t="s">
        <v>62</v>
      </c>
      <c r="E213" s="23"/>
      <c r="F213" s="23"/>
      <c r="G213" s="23"/>
      <c r="H213" s="23"/>
      <c r="I213" s="23"/>
      <c r="J213" s="37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spans="1:29" ht="15.75" customHeight="1" x14ac:dyDescent="0.25">
      <c r="A214" s="83"/>
      <c r="B214" s="550"/>
      <c r="C214" s="535" t="s">
        <v>58</v>
      </c>
      <c r="D214" s="20" t="s">
        <v>63</v>
      </c>
      <c r="E214" s="3"/>
      <c r="F214" s="3"/>
      <c r="G214" s="3"/>
      <c r="H214" s="3"/>
      <c r="I214" s="3"/>
      <c r="J214" s="37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spans="1:29" ht="15.75" customHeight="1" x14ac:dyDescent="0.25">
      <c r="A215" s="83"/>
      <c r="B215" s="550"/>
      <c r="C215" s="535"/>
      <c r="D215" s="20" t="s">
        <v>59</v>
      </c>
      <c r="E215" s="23"/>
      <c r="F215" s="23"/>
      <c r="G215" s="23"/>
      <c r="H215" s="23"/>
      <c r="I215" s="23"/>
      <c r="J215" s="37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spans="1:29" ht="31.5" x14ac:dyDescent="0.25">
      <c r="A216" s="83"/>
      <c r="B216" s="550"/>
      <c r="C216" s="89"/>
      <c r="D216" s="20" t="s">
        <v>10</v>
      </c>
      <c r="E216" s="21">
        <f>$E$31*I198</f>
        <v>796217.02</v>
      </c>
      <c r="F216" s="21"/>
      <c r="G216" s="21"/>
      <c r="H216" s="21"/>
      <c r="I216" s="21">
        <f>$I$31*I198</f>
        <v>1638259.4800000002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83"/>
      <c r="B217" s="550"/>
      <c r="C217" s="89"/>
      <c r="D217" s="20" t="s">
        <v>11</v>
      </c>
      <c r="E217" s="23"/>
      <c r="F217" s="23"/>
      <c r="G217" s="23"/>
      <c r="H217" s="23"/>
      <c r="I217" s="21">
        <v>6989709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83"/>
      <c r="B218" s="550"/>
      <c r="C218" s="89"/>
      <c r="D218" s="20" t="s">
        <v>0</v>
      </c>
      <c r="E218" s="3"/>
      <c r="F218" s="3"/>
      <c r="G218" s="3"/>
      <c r="H218" s="3"/>
      <c r="I218" s="28">
        <v>43626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83"/>
      <c r="B219" s="550"/>
      <c r="C219" s="89"/>
      <c r="D219" s="20" t="s">
        <v>2</v>
      </c>
      <c r="E219" s="3"/>
      <c r="F219" s="3"/>
      <c r="G219" s="3"/>
      <c r="H219" s="3"/>
      <c r="I219" s="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31.5" x14ac:dyDescent="0.25">
      <c r="A220" s="83"/>
      <c r="B220" s="550"/>
      <c r="C220" s="89"/>
      <c r="D220" s="20" t="s">
        <v>3</v>
      </c>
      <c r="E220" s="3"/>
      <c r="F220" s="3"/>
      <c r="G220" s="3"/>
      <c r="H220" s="3"/>
      <c r="I220" s="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83"/>
      <c r="B221" s="550"/>
      <c r="C221" s="89"/>
      <c r="D221" s="20" t="s">
        <v>1</v>
      </c>
      <c r="E221" s="3"/>
      <c r="F221" s="3"/>
      <c r="G221" s="3"/>
      <c r="H221" s="3"/>
      <c r="I221" s="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s="32" customFormat="1" x14ac:dyDescent="0.25">
      <c r="A222" s="83"/>
      <c r="B222" s="551" t="s">
        <v>18</v>
      </c>
      <c r="C222" s="89"/>
      <c r="D222" s="14"/>
      <c r="E222" s="27">
        <v>0.05</v>
      </c>
      <c r="F222" s="27"/>
      <c r="G222" s="27"/>
      <c r="H222" s="27"/>
      <c r="I222" s="27">
        <v>0.05</v>
      </c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5.75" customHeight="1" x14ac:dyDescent="0.25">
      <c r="A223" s="83"/>
      <c r="B223" s="552"/>
      <c r="C223" s="529" t="s">
        <v>45</v>
      </c>
      <c r="D223" s="49" t="s">
        <v>91</v>
      </c>
      <c r="E223" s="13">
        <v>1</v>
      </c>
      <c r="F223" s="13"/>
      <c r="G223" s="13"/>
      <c r="H223" s="13"/>
      <c r="I223" s="13">
        <v>1</v>
      </c>
      <c r="J223" s="37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"/>
    </row>
    <row r="224" spans="1:29" ht="31.5" customHeight="1" x14ac:dyDescent="0.25">
      <c r="A224" s="83"/>
      <c r="B224" s="552"/>
      <c r="C224" s="527"/>
      <c r="D224" s="65" t="s">
        <v>88</v>
      </c>
      <c r="E224" s="15">
        <v>0.1</v>
      </c>
      <c r="F224" s="15"/>
      <c r="G224" s="15"/>
      <c r="H224" s="15"/>
      <c r="I224" s="15">
        <v>0.1</v>
      </c>
      <c r="J224" s="37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"/>
    </row>
    <row r="225" spans="1:29" ht="31.5" x14ac:dyDescent="0.25">
      <c r="A225" s="83"/>
      <c r="B225" s="552"/>
      <c r="C225" s="527"/>
      <c r="D225" s="20" t="s">
        <v>46</v>
      </c>
      <c r="E225" s="13">
        <f>$E$31*E224</f>
        <v>796217.02</v>
      </c>
      <c r="F225" s="13"/>
      <c r="G225" s="13"/>
      <c r="H225" s="13"/>
      <c r="I225" s="13">
        <f>$I$31*I224</f>
        <v>1638259.4800000002</v>
      </c>
      <c r="J225" s="37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"/>
    </row>
    <row r="226" spans="1:29" s="54" customFormat="1" ht="24" customHeight="1" x14ac:dyDescent="0.25">
      <c r="A226" s="83"/>
      <c r="B226" s="552"/>
      <c r="C226" s="527"/>
      <c r="D226" s="66" t="s">
        <v>84</v>
      </c>
      <c r="E226" s="53">
        <v>30</v>
      </c>
      <c r="F226" s="53"/>
      <c r="G226" s="53"/>
      <c r="H226" s="53"/>
      <c r="I226" s="53">
        <v>30</v>
      </c>
      <c r="J226" s="63"/>
      <c r="AC226" s="55"/>
    </row>
    <row r="227" spans="1:29" ht="21" customHeight="1" x14ac:dyDescent="0.25">
      <c r="A227" s="83"/>
      <c r="B227" s="552"/>
      <c r="C227" s="528"/>
      <c r="D227" s="66" t="s">
        <v>85</v>
      </c>
      <c r="E227" s="59">
        <f>$E$9+E226</f>
        <v>42121</v>
      </c>
      <c r="F227" s="59"/>
      <c r="G227" s="59"/>
      <c r="H227" s="59"/>
      <c r="I227" s="59">
        <f>$E$9+I226</f>
        <v>42121</v>
      </c>
      <c r="J227" s="37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"/>
    </row>
    <row r="228" spans="1:29" ht="34.5" customHeight="1" x14ac:dyDescent="0.25">
      <c r="A228" s="83"/>
      <c r="B228" s="552"/>
      <c r="C228" s="529" t="s">
        <v>47</v>
      </c>
      <c r="D228" s="75" t="s">
        <v>93</v>
      </c>
      <c r="E228" s="76">
        <f>IF(OR(E$23&gt;E223,E$23=E223),IF(E$22&lt;E$6*0.9,E$22+0.1*E$6,IF(E$22&gt;1.1*E$6,E$22-0.1*E$6,E$6)),0)</f>
        <v>21.61</v>
      </c>
      <c r="F228" s="76"/>
      <c r="G228" s="76"/>
      <c r="H228" s="76"/>
      <c r="I228" s="76">
        <f>IF(OR(I$23&gt;I223,I$23=I223),IF(I$22&lt;I$6*0.9,I$22+0.1*I$6,IF(I$22&gt;1.1*I$6,I$22-0.1*I$6,I$6)),0)</f>
        <v>87.14</v>
      </c>
      <c r="J228" s="68"/>
      <c r="K228" s="70"/>
      <c r="L228" s="69">
        <f t="shared" ref="L228" si="21">IF(OR(K228&gt;0,M228&gt;0),1,0)</f>
        <v>0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spans="1:29" ht="34.5" customHeight="1" x14ac:dyDescent="0.25">
      <c r="A229" s="83"/>
      <c r="B229" s="552"/>
      <c r="C229" s="527"/>
      <c r="D229" s="75" t="s">
        <v>92</v>
      </c>
      <c r="E229" s="15">
        <v>0.1</v>
      </c>
      <c r="F229" s="15"/>
      <c r="G229" s="15"/>
      <c r="H229" s="15"/>
      <c r="I229" s="15">
        <v>0.1</v>
      </c>
      <c r="J229" s="68"/>
      <c r="K229" s="73"/>
      <c r="L229" s="74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spans="1:29" ht="31.5" x14ac:dyDescent="0.25">
      <c r="A230" s="83"/>
      <c r="B230" s="552"/>
      <c r="C230" s="527"/>
      <c r="D230" s="20" t="s">
        <v>55</v>
      </c>
      <c r="E230" s="21">
        <f>E$31/E$6*E228*E229</f>
        <v>1237859.6980000001</v>
      </c>
      <c r="F230" s="21"/>
      <c r="G230" s="21"/>
      <c r="H230" s="21"/>
      <c r="I230" s="21">
        <f>I$31/I$6*I228*I229</f>
        <v>4991536.0520000001</v>
      </c>
      <c r="J230" s="37"/>
      <c r="K230" s="60"/>
      <c r="L230" s="6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83"/>
      <c r="B231" s="552"/>
      <c r="C231" s="527"/>
      <c r="D231" s="20" t="s">
        <v>44</v>
      </c>
      <c r="E231" s="21">
        <f>E230*0.18</f>
        <v>222814.74564000001</v>
      </c>
      <c r="F231" s="21"/>
      <c r="G231" s="21"/>
      <c r="H231" s="21"/>
      <c r="I231" s="21">
        <f>I230*0.18</f>
        <v>898476.48936000001</v>
      </c>
      <c r="J231" s="37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"/>
    </row>
    <row r="232" spans="1:29" ht="45" x14ac:dyDescent="0.25">
      <c r="A232" s="83"/>
      <c r="B232" s="552"/>
      <c r="C232" s="527"/>
      <c r="D232" s="20" t="s">
        <v>67</v>
      </c>
      <c r="E232" s="61" t="s">
        <v>94</v>
      </c>
      <c r="F232" s="61"/>
      <c r="G232" s="61"/>
      <c r="H232" s="61"/>
      <c r="I232" s="62" t="s">
        <v>87</v>
      </c>
      <c r="J232" s="37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"/>
    </row>
    <row r="233" spans="1:29" ht="18" customHeight="1" x14ac:dyDescent="0.25">
      <c r="A233" s="83"/>
      <c r="B233" s="552"/>
      <c r="C233" s="528"/>
      <c r="D233" s="20" t="s">
        <v>89</v>
      </c>
      <c r="E233" s="23">
        <v>43235</v>
      </c>
      <c r="F233" s="23"/>
      <c r="G233" s="23"/>
      <c r="H233" s="23"/>
      <c r="I233" s="23">
        <v>43235</v>
      </c>
      <c r="J233" s="37"/>
      <c r="K233" s="60"/>
      <c r="L233" s="60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</row>
    <row r="234" spans="1:29" ht="18" customHeight="1" x14ac:dyDescent="0.25">
      <c r="A234" s="83"/>
      <c r="B234" s="552"/>
      <c r="C234" s="530" t="s">
        <v>48</v>
      </c>
      <c r="D234" s="20" t="s">
        <v>56</v>
      </c>
      <c r="E234" s="21"/>
      <c r="F234" s="21"/>
      <c r="G234" s="21"/>
      <c r="H234" s="21"/>
      <c r="I234" s="21"/>
      <c r="J234" s="37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</row>
    <row r="235" spans="1:29" ht="15.75" customHeight="1" x14ac:dyDescent="0.25">
      <c r="A235" s="83"/>
      <c r="B235" s="552"/>
      <c r="C235" s="530"/>
      <c r="D235" s="20" t="s">
        <v>57</v>
      </c>
      <c r="E235" s="21"/>
      <c r="F235" s="21"/>
      <c r="G235" s="21"/>
      <c r="H235" s="21"/>
      <c r="I235" s="21"/>
      <c r="J235" s="37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</row>
    <row r="236" spans="1:29" ht="15.75" customHeight="1" x14ac:dyDescent="0.25">
      <c r="A236" s="83"/>
      <c r="B236" s="552"/>
      <c r="C236" s="534" t="s">
        <v>50</v>
      </c>
      <c r="D236" s="20" t="s">
        <v>41</v>
      </c>
      <c r="E236" s="3"/>
      <c r="F236" s="3"/>
      <c r="G236" s="3"/>
      <c r="H236" s="3"/>
      <c r="I236" s="3"/>
      <c r="J236" s="37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</row>
    <row r="237" spans="1:29" ht="15.75" customHeight="1" x14ac:dyDescent="0.25">
      <c r="A237" s="83"/>
      <c r="B237" s="552"/>
      <c r="C237" s="534"/>
      <c r="D237" s="20" t="s">
        <v>62</v>
      </c>
      <c r="E237" s="23"/>
      <c r="F237" s="23"/>
      <c r="G237" s="23"/>
      <c r="H237" s="23"/>
      <c r="I237" s="23"/>
      <c r="J237" s="37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</row>
    <row r="238" spans="1:29" ht="15.75" customHeight="1" x14ac:dyDescent="0.25">
      <c r="A238" s="83"/>
      <c r="B238" s="552"/>
      <c r="C238" s="535" t="s">
        <v>58</v>
      </c>
      <c r="D238" s="20" t="s">
        <v>63</v>
      </c>
      <c r="E238" s="3"/>
      <c r="F238" s="3"/>
      <c r="G238" s="3"/>
      <c r="H238" s="3"/>
      <c r="I238" s="3"/>
      <c r="J238" s="37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</row>
    <row r="239" spans="1:29" ht="15.75" customHeight="1" x14ac:dyDescent="0.25">
      <c r="A239" s="83"/>
      <c r="B239" s="552"/>
      <c r="C239" s="535"/>
      <c r="D239" s="20" t="s">
        <v>59</v>
      </c>
      <c r="E239" s="23"/>
      <c r="F239" s="23"/>
      <c r="G239" s="23"/>
      <c r="H239" s="23"/>
      <c r="I239" s="23"/>
      <c r="J239" s="37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</row>
    <row r="240" spans="1:29" ht="31.5" x14ac:dyDescent="0.25">
      <c r="A240" s="83"/>
      <c r="B240" s="552"/>
      <c r="C240" s="89"/>
      <c r="D240" s="20" t="s">
        <v>10</v>
      </c>
      <c r="E240" s="21">
        <f>$E$31*I222</f>
        <v>398108.51</v>
      </c>
      <c r="F240" s="21"/>
      <c r="G240" s="21"/>
      <c r="H240" s="21"/>
      <c r="I240" s="21">
        <f>$I$31*I222</f>
        <v>819129.74000000011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83"/>
      <c r="B241" s="552"/>
      <c r="C241" s="89"/>
      <c r="D241" s="20" t="s">
        <v>11</v>
      </c>
      <c r="E241" s="23"/>
      <c r="F241" s="23"/>
      <c r="G241" s="23"/>
      <c r="H241" s="23"/>
      <c r="I241" s="21">
        <v>3494855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83"/>
      <c r="B242" s="552"/>
      <c r="C242" s="89"/>
      <c r="D242" s="20" t="s">
        <v>0</v>
      </c>
      <c r="E242" s="3"/>
      <c r="F242" s="3"/>
      <c r="G242" s="3"/>
      <c r="H242" s="3"/>
      <c r="I242" s="28">
        <v>43417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83"/>
      <c r="B243" s="552"/>
      <c r="C243" s="89"/>
      <c r="D243" s="20" t="s">
        <v>2</v>
      </c>
      <c r="E243" s="3"/>
      <c r="F243" s="3"/>
      <c r="G243" s="3"/>
      <c r="H243" s="3"/>
      <c r="I243" s="3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31.5" x14ac:dyDescent="0.25">
      <c r="A244" s="83"/>
      <c r="B244" s="552"/>
      <c r="C244" s="89"/>
      <c r="D244" s="20" t="s">
        <v>3</v>
      </c>
      <c r="E244" s="3"/>
      <c r="F244" s="3"/>
      <c r="G244" s="3"/>
      <c r="H244" s="3"/>
      <c r="I244" s="3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83"/>
      <c r="B245" s="553"/>
      <c r="C245" s="89"/>
      <c r="D245" s="20" t="s">
        <v>1</v>
      </c>
      <c r="E245" s="3"/>
      <c r="F245" s="3"/>
      <c r="G245" s="3"/>
      <c r="H245" s="3"/>
      <c r="I245" s="3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s="16" customFormat="1" x14ac:dyDescent="0.25">
      <c r="A246" s="83"/>
      <c r="B246" s="550" t="s">
        <v>19</v>
      </c>
      <c r="C246" s="89"/>
      <c r="D246" s="14"/>
      <c r="E246" s="27">
        <v>0.1</v>
      </c>
      <c r="F246" s="27"/>
      <c r="G246" s="27"/>
      <c r="H246" s="27"/>
      <c r="I246" s="27">
        <v>0.1</v>
      </c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15.75" customHeight="1" x14ac:dyDescent="0.25">
      <c r="A247" s="83"/>
      <c r="B247" s="550"/>
      <c r="C247" s="529" t="s">
        <v>45</v>
      </c>
      <c r="D247" s="49" t="s">
        <v>91</v>
      </c>
      <c r="E247" s="13">
        <v>1</v>
      </c>
      <c r="F247" s="13"/>
      <c r="G247" s="13"/>
      <c r="H247" s="13"/>
      <c r="I247" s="13">
        <v>1</v>
      </c>
      <c r="J247" s="37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"/>
    </row>
    <row r="248" spans="1:29" ht="31.5" customHeight="1" x14ac:dyDescent="0.25">
      <c r="A248" s="83"/>
      <c r="B248" s="550"/>
      <c r="C248" s="527"/>
      <c r="D248" s="65" t="s">
        <v>88</v>
      </c>
      <c r="E248" s="15">
        <v>0.1</v>
      </c>
      <c r="F248" s="15"/>
      <c r="G248" s="15"/>
      <c r="H248" s="15"/>
      <c r="I248" s="15">
        <v>0.1</v>
      </c>
      <c r="J248" s="37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"/>
    </row>
    <row r="249" spans="1:29" ht="31.5" x14ac:dyDescent="0.25">
      <c r="A249" s="83"/>
      <c r="B249" s="550"/>
      <c r="C249" s="527"/>
      <c r="D249" s="20" t="s">
        <v>46</v>
      </c>
      <c r="E249" s="13">
        <f>$E$31*E248</f>
        <v>796217.02</v>
      </c>
      <c r="F249" s="13"/>
      <c r="G249" s="13"/>
      <c r="H249" s="13"/>
      <c r="I249" s="13">
        <f>$I$31*I248</f>
        <v>1638259.4800000002</v>
      </c>
      <c r="J249" s="37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"/>
    </row>
    <row r="250" spans="1:29" s="54" customFormat="1" ht="24" customHeight="1" x14ac:dyDescent="0.25">
      <c r="A250" s="83"/>
      <c r="B250" s="550"/>
      <c r="C250" s="527"/>
      <c r="D250" s="66" t="s">
        <v>84</v>
      </c>
      <c r="E250" s="53">
        <v>30</v>
      </c>
      <c r="F250" s="53"/>
      <c r="G250" s="53"/>
      <c r="H250" s="53"/>
      <c r="I250" s="53">
        <v>30</v>
      </c>
      <c r="J250" s="63"/>
      <c r="AC250" s="55"/>
    </row>
    <row r="251" spans="1:29" ht="21" customHeight="1" x14ac:dyDescent="0.25">
      <c r="A251" s="83"/>
      <c r="B251" s="550"/>
      <c r="C251" s="528"/>
      <c r="D251" s="66" t="s">
        <v>85</v>
      </c>
      <c r="E251" s="59">
        <f>$E$9+E250</f>
        <v>42121</v>
      </c>
      <c r="F251" s="59"/>
      <c r="G251" s="59"/>
      <c r="H251" s="59"/>
      <c r="I251" s="59">
        <f>$E$9+I250</f>
        <v>42121</v>
      </c>
      <c r="J251" s="37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"/>
    </row>
    <row r="252" spans="1:29" ht="34.5" customHeight="1" x14ac:dyDescent="0.25">
      <c r="A252" s="83"/>
      <c r="B252" s="550"/>
      <c r="C252" s="529" t="s">
        <v>47</v>
      </c>
      <c r="D252" s="75" t="s">
        <v>93</v>
      </c>
      <c r="E252" s="76">
        <f>IF(OR(E$23&gt;E247,E$23=E247),IF(E$22&lt;E$6*0.9,E$22+0.1*E$6,IF(E$22&gt;1.1*E$6,E$22-0.1*E$6,E$6)),0)</f>
        <v>21.61</v>
      </c>
      <c r="F252" s="76"/>
      <c r="G252" s="76"/>
      <c r="H252" s="76"/>
      <c r="I252" s="76">
        <f>IF(OR(I$23&gt;I247,I$23=I247),IF(I$22&lt;I$6*0.9,I$22+0.1*I$6,IF(I$22&gt;1.1*I$6,I$22-0.1*I$6,I$6)),0)</f>
        <v>87.14</v>
      </c>
      <c r="J252" s="68"/>
      <c r="K252" s="70"/>
      <c r="L252" s="69">
        <f t="shared" ref="L252" si="22">IF(OR(K252&gt;0,M252&gt;0),1,0)</f>
        <v>0</v>
      </c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</row>
    <row r="253" spans="1:29" ht="34.5" customHeight="1" x14ac:dyDescent="0.25">
      <c r="A253" s="83"/>
      <c r="B253" s="550"/>
      <c r="C253" s="527"/>
      <c r="D253" s="75" t="s">
        <v>92</v>
      </c>
      <c r="E253" s="15">
        <v>0.1</v>
      </c>
      <c r="F253" s="15"/>
      <c r="G253" s="15"/>
      <c r="H253" s="15"/>
      <c r="I253" s="15">
        <v>0.1</v>
      </c>
      <c r="J253" s="68"/>
      <c r="K253" s="73"/>
      <c r="L253" s="74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</row>
    <row r="254" spans="1:29" ht="31.5" x14ac:dyDescent="0.25">
      <c r="A254" s="83"/>
      <c r="B254" s="550"/>
      <c r="C254" s="527"/>
      <c r="D254" s="20" t="s">
        <v>55</v>
      </c>
      <c r="E254" s="21">
        <f>E$31/E$6*E252*E253</f>
        <v>1237859.6980000001</v>
      </c>
      <c r="F254" s="21"/>
      <c r="G254" s="21"/>
      <c r="H254" s="21"/>
      <c r="I254" s="21">
        <f>I$31/I$6*I252*I253</f>
        <v>4991536.0520000001</v>
      </c>
      <c r="J254" s="37"/>
      <c r="K254" s="60"/>
      <c r="L254" s="60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83"/>
      <c r="B255" s="550"/>
      <c r="C255" s="527"/>
      <c r="D255" s="20" t="s">
        <v>44</v>
      </c>
      <c r="E255" s="21">
        <f>E254*0.18</f>
        <v>222814.74564000001</v>
      </c>
      <c r="F255" s="21"/>
      <c r="G255" s="21"/>
      <c r="H255" s="21"/>
      <c r="I255" s="21">
        <f>I254*0.18</f>
        <v>898476.48936000001</v>
      </c>
      <c r="J255" s="37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"/>
    </row>
    <row r="256" spans="1:29" ht="45" x14ac:dyDescent="0.25">
      <c r="A256" s="83"/>
      <c r="B256" s="550"/>
      <c r="C256" s="527"/>
      <c r="D256" s="20" t="s">
        <v>67</v>
      </c>
      <c r="E256" s="61" t="s">
        <v>94</v>
      </c>
      <c r="F256" s="61"/>
      <c r="G256" s="61"/>
      <c r="H256" s="61"/>
      <c r="I256" s="62" t="s">
        <v>87</v>
      </c>
      <c r="J256" s="37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"/>
    </row>
    <row r="257" spans="1:29" ht="18" customHeight="1" x14ac:dyDescent="0.25">
      <c r="A257" s="83"/>
      <c r="B257" s="550"/>
      <c r="C257" s="528"/>
      <c r="D257" s="20" t="s">
        <v>89</v>
      </c>
      <c r="E257" s="23">
        <v>43235</v>
      </c>
      <c r="F257" s="23"/>
      <c r="G257" s="23"/>
      <c r="H257" s="23"/>
      <c r="I257" s="23">
        <v>43235</v>
      </c>
      <c r="J257" s="37"/>
      <c r="K257" s="60"/>
      <c r="L257" s="60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</row>
    <row r="258" spans="1:29" ht="18" customHeight="1" x14ac:dyDescent="0.25">
      <c r="A258" s="83"/>
      <c r="B258" s="550"/>
      <c r="C258" s="530" t="s">
        <v>48</v>
      </c>
      <c r="D258" s="20" t="s">
        <v>56</v>
      </c>
      <c r="E258" s="21"/>
      <c r="F258" s="21"/>
      <c r="G258" s="21"/>
      <c r="H258" s="21"/>
      <c r="I258" s="21"/>
      <c r="J258" s="37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</row>
    <row r="259" spans="1:29" ht="15.75" customHeight="1" x14ac:dyDescent="0.25">
      <c r="A259" s="83"/>
      <c r="B259" s="550"/>
      <c r="C259" s="530"/>
      <c r="D259" s="20" t="s">
        <v>57</v>
      </c>
      <c r="E259" s="21"/>
      <c r="F259" s="21"/>
      <c r="G259" s="21"/>
      <c r="H259" s="21"/>
      <c r="I259" s="21"/>
      <c r="J259" s="37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</row>
    <row r="260" spans="1:29" ht="15.75" customHeight="1" x14ac:dyDescent="0.25">
      <c r="A260" s="83"/>
      <c r="B260" s="550"/>
      <c r="C260" s="534" t="s">
        <v>50</v>
      </c>
      <c r="D260" s="20" t="s">
        <v>41</v>
      </c>
      <c r="E260" s="3"/>
      <c r="F260" s="3"/>
      <c r="G260" s="3"/>
      <c r="H260" s="3"/>
      <c r="I260" s="3"/>
      <c r="J260" s="37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</row>
    <row r="261" spans="1:29" ht="15.75" customHeight="1" x14ac:dyDescent="0.25">
      <c r="A261" s="83"/>
      <c r="B261" s="550"/>
      <c r="C261" s="534"/>
      <c r="D261" s="20" t="s">
        <v>62</v>
      </c>
      <c r="E261" s="23"/>
      <c r="F261" s="23"/>
      <c r="G261" s="23"/>
      <c r="H261" s="23"/>
      <c r="I261" s="23"/>
      <c r="J261" s="37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</row>
    <row r="262" spans="1:29" ht="15.75" customHeight="1" x14ac:dyDescent="0.25">
      <c r="A262" s="83"/>
      <c r="B262" s="550"/>
      <c r="C262" s="535" t="s">
        <v>58</v>
      </c>
      <c r="D262" s="20" t="s">
        <v>63</v>
      </c>
      <c r="E262" s="3"/>
      <c r="F262" s="3"/>
      <c r="G262" s="3"/>
      <c r="H262" s="3"/>
      <c r="I262" s="3"/>
      <c r="J262" s="37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</row>
    <row r="263" spans="1:29" ht="15.75" customHeight="1" x14ac:dyDescent="0.25">
      <c r="A263" s="83"/>
      <c r="B263" s="550"/>
      <c r="C263" s="535"/>
      <c r="D263" s="20" t="s">
        <v>59</v>
      </c>
      <c r="E263" s="23"/>
      <c r="F263" s="23"/>
      <c r="G263" s="23"/>
      <c r="H263" s="23"/>
      <c r="I263" s="23"/>
      <c r="J263" s="37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</row>
    <row r="264" spans="1:29" ht="31.5" x14ac:dyDescent="0.25">
      <c r="A264" s="83"/>
      <c r="B264" s="550"/>
      <c r="C264" s="89"/>
      <c r="D264" s="20" t="s">
        <v>10</v>
      </c>
      <c r="E264" s="21">
        <f>$E$31*I246</f>
        <v>796217.02</v>
      </c>
      <c r="F264" s="21"/>
      <c r="G264" s="21"/>
      <c r="H264" s="21"/>
      <c r="I264" s="21">
        <f>$I$31*I246</f>
        <v>1638259.4800000002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83"/>
      <c r="B265" s="550"/>
      <c r="C265" s="89"/>
      <c r="D265" s="20" t="s">
        <v>11</v>
      </c>
      <c r="E265" s="23"/>
      <c r="F265" s="23"/>
      <c r="G265" s="23"/>
      <c r="H265" s="23"/>
      <c r="I265" s="21">
        <v>6989709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83"/>
      <c r="B266" s="550"/>
      <c r="C266" s="89"/>
      <c r="D266" s="20" t="s">
        <v>0</v>
      </c>
      <c r="E266" s="3"/>
      <c r="F266" s="3"/>
      <c r="G266" s="3"/>
      <c r="H266" s="3"/>
      <c r="I266" s="28">
        <v>43433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83"/>
      <c r="B267" s="550"/>
      <c r="C267" s="89"/>
      <c r="D267" s="20" t="s">
        <v>2</v>
      </c>
      <c r="E267" s="3"/>
      <c r="F267" s="3"/>
      <c r="G267" s="3"/>
      <c r="H267" s="3"/>
      <c r="I267" s="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31.5" x14ac:dyDescent="0.25">
      <c r="A268" s="83"/>
      <c r="B268" s="550"/>
      <c r="C268" s="89"/>
      <c r="D268" s="20" t="s">
        <v>3</v>
      </c>
      <c r="E268" s="3"/>
      <c r="F268" s="3"/>
      <c r="G268" s="3"/>
      <c r="H268" s="3"/>
      <c r="I268" s="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83"/>
      <c r="B269" s="550"/>
      <c r="C269" s="89"/>
      <c r="D269" s="20" t="s">
        <v>1</v>
      </c>
      <c r="E269" s="3"/>
      <c r="F269" s="3"/>
      <c r="G269" s="3"/>
      <c r="H269" s="3"/>
      <c r="I269" s="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s="16" customFormat="1" x14ac:dyDescent="0.25">
      <c r="A270" s="83"/>
      <c r="B270" s="550" t="s">
        <v>20</v>
      </c>
      <c r="C270" s="89"/>
      <c r="D270" s="14"/>
      <c r="E270" s="27">
        <v>0.05</v>
      </c>
      <c r="F270" s="27"/>
      <c r="G270" s="27"/>
      <c r="H270" s="27"/>
      <c r="I270" s="27">
        <v>0.05</v>
      </c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15.75" customHeight="1" x14ac:dyDescent="0.25">
      <c r="A271" s="83"/>
      <c r="B271" s="550"/>
      <c r="C271" s="529" t="s">
        <v>45</v>
      </c>
      <c r="D271" s="49" t="s">
        <v>91</v>
      </c>
      <c r="E271" s="13">
        <v>1</v>
      </c>
      <c r="F271" s="13"/>
      <c r="G271" s="13"/>
      <c r="H271" s="13"/>
      <c r="I271" s="13">
        <v>1</v>
      </c>
      <c r="J271" s="37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"/>
    </row>
    <row r="272" spans="1:29" ht="31.5" customHeight="1" x14ac:dyDescent="0.25">
      <c r="A272" s="83"/>
      <c r="B272" s="550"/>
      <c r="C272" s="527"/>
      <c r="D272" s="65" t="s">
        <v>88</v>
      </c>
      <c r="E272" s="15">
        <v>0.1</v>
      </c>
      <c r="F272" s="15"/>
      <c r="G272" s="15"/>
      <c r="H272" s="15"/>
      <c r="I272" s="15">
        <v>0.1</v>
      </c>
      <c r="J272" s="37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"/>
    </row>
    <row r="273" spans="1:29" ht="31.5" x14ac:dyDescent="0.25">
      <c r="A273" s="83"/>
      <c r="B273" s="550"/>
      <c r="C273" s="527"/>
      <c r="D273" s="20" t="s">
        <v>46</v>
      </c>
      <c r="E273" s="13">
        <f>$E$31*E272</f>
        <v>796217.02</v>
      </c>
      <c r="F273" s="13"/>
      <c r="G273" s="13"/>
      <c r="H273" s="13"/>
      <c r="I273" s="13">
        <f>$I$31*I272</f>
        <v>1638259.4800000002</v>
      </c>
      <c r="J273" s="37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"/>
    </row>
    <row r="274" spans="1:29" s="54" customFormat="1" ht="24" customHeight="1" x14ac:dyDescent="0.25">
      <c r="A274" s="83"/>
      <c r="B274" s="550"/>
      <c r="C274" s="527"/>
      <c r="D274" s="66" t="s">
        <v>84</v>
      </c>
      <c r="E274" s="53">
        <v>30</v>
      </c>
      <c r="F274" s="53"/>
      <c r="G274" s="53"/>
      <c r="H274" s="53"/>
      <c r="I274" s="53">
        <v>30</v>
      </c>
      <c r="J274" s="63"/>
      <c r="AC274" s="55"/>
    </row>
    <row r="275" spans="1:29" ht="21" customHeight="1" x14ac:dyDescent="0.25">
      <c r="A275" s="83"/>
      <c r="B275" s="550"/>
      <c r="C275" s="528"/>
      <c r="D275" s="66" t="s">
        <v>85</v>
      </c>
      <c r="E275" s="59">
        <f>$E$9+E274</f>
        <v>42121</v>
      </c>
      <c r="F275" s="59"/>
      <c r="G275" s="59"/>
      <c r="H275" s="59"/>
      <c r="I275" s="59">
        <f>$E$9+I274</f>
        <v>42121</v>
      </c>
      <c r="J275" s="37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"/>
    </row>
    <row r="276" spans="1:29" ht="34.5" customHeight="1" x14ac:dyDescent="0.25">
      <c r="A276" s="83"/>
      <c r="B276" s="550"/>
      <c r="C276" s="529" t="s">
        <v>47</v>
      </c>
      <c r="D276" s="75" t="s">
        <v>93</v>
      </c>
      <c r="E276" s="76">
        <f>IF(OR(E$23&gt;E271,E$23=E271),IF(E$22&lt;E$6*0.9,E$22+0.1*E$6,IF(E$22&gt;1.1*E$6,E$22-0.1*E$6,E$6)),0)</f>
        <v>21.61</v>
      </c>
      <c r="F276" s="76"/>
      <c r="G276" s="76"/>
      <c r="H276" s="76"/>
      <c r="I276" s="76">
        <f>IF(OR(I$23&gt;I271,I$23=I271),IF(I$22&lt;I$6*0.9,I$22+0.1*I$6,IF(I$22&gt;1.1*I$6,I$22-0.1*I$6,I$6)),0)</f>
        <v>87.14</v>
      </c>
      <c r="J276" s="68"/>
      <c r="K276" s="70"/>
      <c r="L276" s="69">
        <f t="shared" ref="L276" si="23">IF(OR(K276&gt;0,M276&gt;0),1,0)</f>
        <v>0</v>
      </c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</row>
    <row r="277" spans="1:29" ht="34.5" customHeight="1" x14ac:dyDescent="0.25">
      <c r="A277" s="83"/>
      <c r="B277" s="550"/>
      <c r="C277" s="527"/>
      <c r="D277" s="75" t="s">
        <v>92</v>
      </c>
      <c r="E277" s="15">
        <v>0.1</v>
      </c>
      <c r="F277" s="15"/>
      <c r="G277" s="15"/>
      <c r="H277" s="15"/>
      <c r="I277" s="15">
        <v>0.1</v>
      </c>
      <c r="J277" s="68"/>
      <c r="K277" s="73"/>
      <c r="L277" s="74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</row>
    <row r="278" spans="1:29" ht="31.5" x14ac:dyDescent="0.25">
      <c r="A278" s="83"/>
      <c r="B278" s="550"/>
      <c r="C278" s="527"/>
      <c r="D278" s="20" t="s">
        <v>55</v>
      </c>
      <c r="E278" s="21">
        <f>E$31/E$6*E276*E277</f>
        <v>1237859.6980000001</v>
      </c>
      <c r="F278" s="21"/>
      <c r="G278" s="21"/>
      <c r="H278" s="21"/>
      <c r="I278" s="21">
        <f>I$31/I$6*I276*I277</f>
        <v>4991536.0520000001</v>
      </c>
      <c r="J278" s="37"/>
      <c r="K278" s="60"/>
      <c r="L278" s="60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83"/>
      <c r="B279" s="550"/>
      <c r="C279" s="527"/>
      <c r="D279" s="20" t="s">
        <v>44</v>
      </c>
      <c r="E279" s="21">
        <f>E278*0.18</f>
        <v>222814.74564000001</v>
      </c>
      <c r="F279" s="21"/>
      <c r="G279" s="21"/>
      <c r="H279" s="21"/>
      <c r="I279" s="21">
        <f>I278*0.18</f>
        <v>898476.48936000001</v>
      </c>
      <c r="J279" s="37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"/>
    </row>
    <row r="280" spans="1:29" ht="45" x14ac:dyDescent="0.25">
      <c r="A280" s="83"/>
      <c r="B280" s="550"/>
      <c r="C280" s="527"/>
      <c r="D280" s="20" t="s">
        <v>67</v>
      </c>
      <c r="E280" s="61" t="s">
        <v>94</v>
      </c>
      <c r="F280" s="61"/>
      <c r="G280" s="61"/>
      <c r="H280" s="61"/>
      <c r="I280" s="62" t="s">
        <v>87</v>
      </c>
      <c r="J280" s="37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"/>
    </row>
    <row r="281" spans="1:29" ht="18" customHeight="1" x14ac:dyDescent="0.25">
      <c r="A281" s="83"/>
      <c r="B281" s="550"/>
      <c r="C281" s="528"/>
      <c r="D281" s="20" t="s">
        <v>89</v>
      </c>
      <c r="E281" s="23">
        <v>43235</v>
      </c>
      <c r="F281" s="23"/>
      <c r="G281" s="23"/>
      <c r="H281" s="23"/>
      <c r="I281" s="23">
        <v>43235</v>
      </c>
      <c r="J281" s="37"/>
      <c r="K281" s="60"/>
      <c r="L281" s="60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</row>
    <row r="282" spans="1:29" ht="18" customHeight="1" x14ac:dyDescent="0.25">
      <c r="A282" s="83"/>
      <c r="B282" s="550"/>
      <c r="C282" s="530" t="s">
        <v>48</v>
      </c>
      <c r="D282" s="20" t="s">
        <v>56</v>
      </c>
      <c r="E282" s="21"/>
      <c r="F282" s="21"/>
      <c r="G282" s="21"/>
      <c r="H282" s="21"/>
      <c r="I282" s="21"/>
      <c r="J282" s="37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</row>
    <row r="283" spans="1:29" ht="15.75" customHeight="1" x14ac:dyDescent="0.25">
      <c r="A283" s="83"/>
      <c r="B283" s="550"/>
      <c r="C283" s="530"/>
      <c r="D283" s="20" t="s">
        <v>57</v>
      </c>
      <c r="E283" s="21"/>
      <c r="F283" s="21"/>
      <c r="G283" s="21"/>
      <c r="H283" s="21"/>
      <c r="I283" s="21"/>
      <c r="J283" s="37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</row>
    <row r="284" spans="1:29" ht="15.75" customHeight="1" x14ac:dyDescent="0.25">
      <c r="A284" s="83"/>
      <c r="B284" s="550"/>
      <c r="C284" s="534" t="s">
        <v>50</v>
      </c>
      <c r="D284" s="20" t="s">
        <v>41</v>
      </c>
      <c r="E284" s="3"/>
      <c r="F284" s="3"/>
      <c r="G284" s="3"/>
      <c r="H284" s="3"/>
      <c r="I284" s="3"/>
      <c r="J284" s="37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</row>
    <row r="285" spans="1:29" ht="15.75" customHeight="1" x14ac:dyDescent="0.25">
      <c r="A285" s="83"/>
      <c r="B285" s="550"/>
      <c r="C285" s="534"/>
      <c r="D285" s="20" t="s">
        <v>62</v>
      </c>
      <c r="E285" s="23"/>
      <c r="F285" s="23"/>
      <c r="G285" s="23"/>
      <c r="H285" s="23"/>
      <c r="I285" s="23"/>
      <c r="J285" s="37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</row>
    <row r="286" spans="1:29" ht="15.75" customHeight="1" x14ac:dyDescent="0.25">
      <c r="A286" s="83"/>
      <c r="B286" s="550"/>
      <c r="C286" s="535" t="s">
        <v>58</v>
      </c>
      <c r="D286" s="20" t="s">
        <v>63</v>
      </c>
      <c r="E286" s="3"/>
      <c r="F286" s="3"/>
      <c r="G286" s="3"/>
      <c r="H286" s="3"/>
      <c r="I286" s="3"/>
      <c r="J286" s="37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</row>
    <row r="287" spans="1:29" ht="15.75" customHeight="1" x14ac:dyDescent="0.25">
      <c r="A287" s="83"/>
      <c r="B287" s="550"/>
      <c r="C287" s="535"/>
      <c r="D287" s="20" t="s">
        <v>59</v>
      </c>
      <c r="E287" s="23"/>
      <c r="F287" s="23"/>
      <c r="G287" s="23"/>
      <c r="H287" s="23"/>
      <c r="I287" s="23"/>
      <c r="J287" s="37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</row>
    <row r="288" spans="1:29" ht="31.5" x14ac:dyDescent="0.25">
      <c r="A288" s="83"/>
      <c r="B288" s="550"/>
      <c r="C288" s="89"/>
      <c r="D288" s="20" t="s">
        <v>10</v>
      </c>
      <c r="E288" s="21">
        <f>$E$31*I270</f>
        <v>398108.51</v>
      </c>
      <c r="F288" s="21"/>
      <c r="G288" s="21"/>
      <c r="H288" s="21"/>
      <c r="I288" s="21">
        <f>$I$31*I270</f>
        <v>819129.74000000011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83"/>
      <c r="B289" s="550"/>
      <c r="C289" s="89"/>
      <c r="D289" s="20" t="s">
        <v>11</v>
      </c>
      <c r="E289" s="23"/>
      <c r="F289" s="23"/>
      <c r="G289" s="23"/>
      <c r="H289" s="23"/>
      <c r="I289" s="23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83"/>
      <c r="B290" s="550"/>
      <c r="C290" s="89"/>
      <c r="D290" s="20" t="s">
        <v>0</v>
      </c>
      <c r="E290" s="3"/>
      <c r="F290" s="3"/>
      <c r="G290" s="3"/>
      <c r="H290" s="3"/>
      <c r="I290" s="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83"/>
      <c r="B291" s="550"/>
      <c r="C291" s="89"/>
      <c r="D291" s="20" t="s">
        <v>2</v>
      </c>
      <c r="E291" s="3"/>
      <c r="F291" s="3"/>
      <c r="G291" s="3"/>
      <c r="H291" s="3"/>
      <c r="I291" s="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31.5" x14ac:dyDescent="0.25">
      <c r="A292" s="83"/>
      <c r="B292" s="550"/>
      <c r="C292" s="89"/>
      <c r="D292" s="20" t="s">
        <v>3</v>
      </c>
      <c r="E292" s="3"/>
      <c r="F292" s="3"/>
      <c r="G292" s="3"/>
      <c r="H292" s="3"/>
      <c r="I292" s="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83"/>
      <c r="B293" s="550"/>
      <c r="C293" s="89"/>
      <c r="D293" s="20" t="s">
        <v>1</v>
      </c>
      <c r="E293" s="3"/>
      <c r="F293" s="3"/>
      <c r="G293" s="3"/>
      <c r="H293" s="3"/>
      <c r="I293" s="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s="32" customFormat="1" x14ac:dyDescent="0.25">
      <c r="A294" s="83"/>
      <c r="B294" s="550" t="s">
        <v>21</v>
      </c>
      <c r="C294" s="89"/>
      <c r="D294" s="29"/>
      <c r="E294" s="30">
        <v>2.5000000000000001E-2</v>
      </c>
      <c r="F294" s="30"/>
      <c r="G294" s="30"/>
      <c r="H294" s="30"/>
      <c r="I294" s="30">
        <v>2.5000000000000001E-2</v>
      </c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ht="15.75" customHeight="1" x14ac:dyDescent="0.25">
      <c r="A295" s="83"/>
      <c r="B295" s="550"/>
      <c r="C295" s="529" t="s">
        <v>45</v>
      </c>
      <c r="D295" s="49" t="s">
        <v>91</v>
      </c>
      <c r="E295" s="13">
        <v>1</v>
      </c>
      <c r="F295" s="13"/>
      <c r="G295" s="13"/>
      <c r="H295" s="13"/>
      <c r="I295" s="13">
        <v>1</v>
      </c>
      <c r="J295" s="37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"/>
    </row>
    <row r="296" spans="1:29" ht="31.5" customHeight="1" x14ac:dyDescent="0.25">
      <c r="A296" s="83"/>
      <c r="B296" s="550"/>
      <c r="C296" s="527"/>
      <c r="D296" s="65" t="s">
        <v>88</v>
      </c>
      <c r="E296" s="15">
        <v>0.1</v>
      </c>
      <c r="F296" s="15"/>
      <c r="G296" s="15"/>
      <c r="H296" s="15"/>
      <c r="I296" s="15">
        <v>0.1</v>
      </c>
      <c r="J296" s="37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"/>
    </row>
    <row r="297" spans="1:29" ht="31.5" x14ac:dyDescent="0.25">
      <c r="A297" s="83"/>
      <c r="B297" s="550"/>
      <c r="C297" s="527"/>
      <c r="D297" s="20" t="s">
        <v>46</v>
      </c>
      <c r="E297" s="13">
        <f>$E$31*E296</f>
        <v>796217.02</v>
      </c>
      <c r="F297" s="13"/>
      <c r="G297" s="13"/>
      <c r="H297" s="13"/>
      <c r="I297" s="13">
        <f>$I$31*I296</f>
        <v>1638259.4800000002</v>
      </c>
      <c r="J297" s="37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"/>
    </row>
    <row r="298" spans="1:29" s="54" customFormat="1" ht="24" customHeight="1" x14ac:dyDescent="0.25">
      <c r="A298" s="83"/>
      <c r="B298" s="550"/>
      <c r="C298" s="527"/>
      <c r="D298" s="66" t="s">
        <v>84</v>
      </c>
      <c r="E298" s="53">
        <v>30</v>
      </c>
      <c r="F298" s="53"/>
      <c r="G298" s="53"/>
      <c r="H298" s="53"/>
      <c r="I298" s="53">
        <v>30</v>
      </c>
      <c r="J298" s="63"/>
      <c r="AC298" s="55"/>
    </row>
    <row r="299" spans="1:29" ht="21" customHeight="1" x14ac:dyDescent="0.25">
      <c r="A299" s="83"/>
      <c r="B299" s="550"/>
      <c r="C299" s="528"/>
      <c r="D299" s="66" t="s">
        <v>85</v>
      </c>
      <c r="E299" s="59">
        <f>$E$9+E298</f>
        <v>42121</v>
      </c>
      <c r="F299" s="59"/>
      <c r="G299" s="59"/>
      <c r="H299" s="59"/>
      <c r="I299" s="59">
        <f>$E$9+I298</f>
        <v>42121</v>
      </c>
      <c r="J299" s="37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"/>
    </row>
    <row r="300" spans="1:29" ht="34.5" customHeight="1" x14ac:dyDescent="0.25">
      <c r="A300" s="83"/>
      <c r="B300" s="550"/>
      <c r="C300" s="529" t="s">
        <v>47</v>
      </c>
      <c r="D300" s="75" t="s">
        <v>93</v>
      </c>
      <c r="E300" s="76">
        <f>IF(OR(E$23&gt;E295,E$23=E295),IF(E$22&lt;E$6*0.9,E$22+0.1*E$6,IF(E$22&gt;1.1*E$6,E$22-0.1*E$6,E$6)),0)</f>
        <v>21.61</v>
      </c>
      <c r="F300" s="76"/>
      <c r="G300" s="76"/>
      <c r="H300" s="76"/>
      <c r="I300" s="76">
        <f>IF(OR(I$23&gt;I295,I$23=I295),IF(I$22&lt;I$6*0.9,I$22+0.1*I$6,IF(I$22&gt;1.1*I$6,I$22-0.1*I$6,I$6)),0)</f>
        <v>87.14</v>
      </c>
      <c r="J300" s="68"/>
      <c r="K300" s="70"/>
      <c r="L300" s="69">
        <f t="shared" ref="L300" si="24">IF(OR(K300&gt;0,M300&gt;0),1,0)</f>
        <v>0</v>
      </c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</row>
    <row r="301" spans="1:29" ht="34.5" customHeight="1" x14ac:dyDescent="0.25">
      <c r="A301" s="83"/>
      <c r="B301" s="550"/>
      <c r="C301" s="527"/>
      <c r="D301" s="75" t="s">
        <v>92</v>
      </c>
      <c r="E301" s="15">
        <v>0.1</v>
      </c>
      <c r="F301" s="15"/>
      <c r="G301" s="15"/>
      <c r="H301" s="15"/>
      <c r="I301" s="15">
        <v>0.1</v>
      </c>
      <c r="J301" s="68"/>
      <c r="K301" s="73"/>
      <c r="L301" s="74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</row>
    <row r="302" spans="1:29" ht="31.5" x14ac:dyDescent="0.25">
      <c r="A302" s="83"/>
      <c r="B302" s="550"/>
      <c r="C302" s="527"/>
      <c r="D302" s="20" t="s">
        <v>55</v>
      </c>
      <c r="E302" s="21">
        <f>E$31/E$6*E300*E301</f>
        <v>1237859.6980000001</v>
      </c>
      <c r="F302" s="21"/>
      <c r="G302" s="21"/>
      <c r="H302" s="21"/>
      <c r="I302" s="21">
        <f>I$31/I$6*I300*I301</f>
        <v>4991536.0520000001</v>
      </c>
      <c r="J302" s="37"/>
      <c r="K302" s="60"/>
      <c r="L302" s="60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83"/>
      <c r="B303" s="550"/>
      <c r="C303" s="527"/>
      <c r="D303" s="20" t="s">
        <v>44</v>
      </c>
      <c r="E303" s="21">
        <f>E302*0.18</f>
        <v>222814.74564000001</v>
      </c>
      <c r="F303" s="21"/>
      <c r="G303" s="21"/>
      <c r="H303" s="21"/>
      <c r="I303" s="21">
        <f>I302*0.18</f>
        <v>898476.48936000001</v>
      </c>
      <c r="J303" s="37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"/>
    </row>
    <row r="304" spans="1:29" ht="45" x14ac:dyDescent="0.25">
      <c r="A304" s="83"/>
      <c r="B304" s="550"/>
      <c r="C304" s="527"/>
      <c r="D304" s="20" t="s">
        <v>67</v>
      </c>
      <c r="E304" s="61" t="s">
        <v>94</v>
      </c>
      <c r="F304" s="61"/>
      <c r="G304" s="61"/>
      <c r="H304" s="61"/>
      <c r="I304" s="62" t="s">
        <v>87</v>
      </c>
      <c r="J304" s="37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"/>
    </row>
    <row r="305" spans="1:29" ht="18" customHeight="1" x14ac:dyDescent="0.25">
      <c r="A305" s="83"/>
      <c r="B305" s="550"/>
      <c r="C305" s="528"/>
      <c r="D305" s="20" t="s">
        <v>89</v>
      </c>
      <c r="E305" s="23">
        <v>43235</v>
      </c>
      <c r="F305" s="23"/>
      <c r="G305" s="23"/>
      <c r="H305" s="23"/>
      <c r="I305" s="23">
        <v>43235</v>
      </c>
      <c r="J305" s="37"/>
      <c r="K305" s="60"/>
      <c r="L305" s="60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</row>
    <row r="306" spans="1:29" ht="18" customHeight="1" x14ac:dyDescent="0.25">
      <c r="A306" s="83"/>
      <c r="B306" s="550"/>
      <c r="C306" s="530" t="s">
        <v>48</v>
      </c>
      <c r="D306" s="20" t="s">
        <v>56</v>
      </c>
      <c r="E306" s="21"/>
      <c r="F306" s="21"/>
      <c r="G306" s="21"/>
      <c r="H306" s="21"/>
      <c r="I306" s="21"/>
      <c r="J306" s="37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</row>
    <row r="307" spans="1:29" ht="15.75" customHeight="1" x14ac:dyDescent="0.25">
      <c r="A307" s="83"/>
      <c r="B307" s="550"/>
      <c r="C307" s="530"/>
      <c r="D307" s="20" t="s">
        <v>57</v>
      </c>
      <c r="E307" s="21"/>
      <c r="F307" s="21"/>
      <c r="G307" s="21"/>
      <c r="H307" s="21"/>
      <c r="I307" s="21"/>
      <c r="J307" s="37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</row>
    <row r="308" spans="1:29" ht="15.75" customHeight="1" x14ac:dyDescent="0.25">
      <c r="A308" s="83"/>
      <c r="B308" s="550"/>
      <c r="C308" s="534" t="s">
        <v>50</v>
      </c>
      <c r="D308" s="20" t="s">
        <v>41</v>
      </c>
      <c r="E308" s="3"/>
      <c r="F308" s="3"/>
      <c r="G308" s="3"/>
      <c r="H308" s="3"/>
      <c r="I308" s="3"/>
      <c r="J308" s="37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</row>
    <row r="309" spans="1:29" ht="15.75" customHeight="1" x14ac:dyDescent="0.25">
      <c r="A309" s="83"/>
      <c r="B309" s="550"/>
      <c r="C309" s="534"/>
      <c r="D309" s="20" t="s">
        <v>62</v>
      </c>
      <c r="E309" s="23"/>
      <c r="F309" s="23"/>
      <c r="G309" s="23"/>
      <c r="H309" s="23"/>
      <c r="I309" s="23"/>
      <c r="J309" s="37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</row>
    <row r="310" spans="1:29" ht="15.75" customHeight="1" x14ac:dyDescent="0.25">
      <c r="A310" s="83"/>
      <c r="B310" s="550"/>
      <c r="C310" s="535" t="s">
        <v>58</v>
      </c>
      <c r="D310" s="20" t="s">
        <v>63</v>
      </c>
      <c r="E310" s="3"/>
      <c r="F310" s="3"/>
      <c r="G310" s="3"/>
      <c r="H310" s="3"/>
      <c r="I310" s="3"/>
      <c r="J310" s="37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</row>
    <row r="311" spans="1:29" ht="15.75" customHeight="1" x14ac:dyDescent="0.25">
      <c r="A311" s="83"/>
      <c r="B311" s="550"/>
      <c r="C311" s="535"/>
      <c r="D311" s="20" t="s">
        <v>59</v>
      </c>
      <c r="E311" s="23"/>
      <c r="F311" s="23"/>
      <c r="G311" s="23"/>
      <c r="H311" s="23"/>
      <c r="I311" s="23"/>
      <c r="J311" s="37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</row>
    <row r="312" spans="1:29" ht="31.5" x14ac:dyDescent="0.25">
      <c r="A312" s="83"/>
      <c r="B312" s="550"/>
      <c r="C312" s="89"/>
      <c r="D312" s="20" t="s">
        <v>10</v>
      </c>
      <c r="E312" s="21">
        <f>$E$31*I294</f>
        <v>199054.255</v>
      </c>
      <c r="F312" s="21"/>
      <c r="G312" s="21"/>
      <c r="H312" s="21"/>
      <c r="I312" s="21">
        <f>$I$31*I294</f>
        <v>409564.87000000005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83"/>
      <c r="B313" s="550"/>
      <c r="C313" s="89"/>
      <c r="D313" s="20" t="s">
        <v>11</v>
      </c>
      <c r="E313" s="23"/>
      <c r="F313" s="23"/>
      <c r="G313" s="23"/>
      <c r="H313" s="23"/>
      <c r="I313" s="23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"/>
      <c r="AC313" s="2"/>
    </row>
    <row r="314" spans="1:29" x14ac:dyDescent="0.25">
      <c r="A314" s="83"/>
      <c r="B314" s="550"/>
      <c r="C314" s="89"/>
      <c r="D314" s="20" t="s">
        <v>0</v>
      </c>
      <c r="E314" s="3"/>
      <c r="F314" s="3"/>
      <c r="G314" s="3"/>
      <c r="H314" s="3"/>
      <c r="I314" s="3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"/>
      <c r="AC314" s="2"/>
    </row>
    <row r="315" spans="1:29" x14ac:dyDescent="0.25">
      <c r="A315" s="83"/>
      <c r="B315" s="550"/>
      <c r="C315" s="89"/>
      <c r="D315" s="20" t="s">
        <v>2</v>
      </c>
      <c r="E315" s="3"/>
      <c r="F315" s="3"/>
      <c r="G315" s="3"/>
      <c r="H315" s="3"/>
      <c r="I315" s="3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"/>
      <c r="AC315" s="2"/>
    </row>
    <row r="316" spans="1:29" ht="31.5" x14ac:dyDescent="0.25">
      <c r="A316" s="83"/>
      <c r="B316" s="550"/>
      <c r="C316" s="89"/>
      <c r="D316" s="20" t="s">
        <v>3</v>
      </c>
      <c r="E316" s="3"/>
      <c r="F316" s="3"/>
      <c r="G316" s="3"/>
      <c r="H316" s="3"/>
      <c r="I316" s="3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"/>
      <c r="AC316" s="2"/>
    </row>
    <row r="317" spans="1:29" x14ac:dyDescent="0.25">
      <c r="A317" s="83"/>
      <c r="B317" s="550"/>
      <c r="C317" s="89"/>
      <c r="D317" s="20" t="s">
        <v>1</v>
      </c>
      <c r="E317" s="3"/>
      <c r="F317" s="3"/>
      <c r="G317" s="3"/>
      <c r="H317" s="3"/>
      <c r="I317" s="3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2"/>
      <c r="AC317" s="2"/>
    </row>
    <row r="318" spans="1:29" x14ac:dyDescent="0.25">
      <c r="A318" s="83"/>
      <c r="B318" s="550" t="s">
        <v>22</v>
      </c>
      <c r="C318" s="89"/>
      <c r="D318" s="14"/>
      <c r="E318" s="27">
        <v>0.1</v>
      </c>
      <c r="F318" s="27"/>
      <c r="G318" s="27"/>
      <c r="H318" s="27"/>
      <c r="I318" s="27">
        <v>0.1</v>
      </c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2"/>
      <c r="AC318" s="2"/>
    </row>
    <row r="319" spans="1:29" ht="15.75" customHeight="1" x14ac:dyDescent="0.25">
      <c r="A319" s="83"/>
      <c r="B319" s="550"/>
      <c r="C319" s="529" t="s">
        <v>45</v>
      </c>
      <c r="D319" s="49" t="s">
        <v>91</v>
      </c>
      <c r="E319" s="13">
        <v>1</v>
      </c>
      <c r="F319" s="13"/>
      <c r="G319" s="13"/>
      <c r="H319" s="13"/>
      <c r="I319" s="13">
        <v>1</v>
      </c>
      <c r="J319" s="37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"/>
    </row>
    <row r="320" spans="1:29" ht="31.5" customHeight="1" x14ac:dyDescent="0.25">
      <c r="A320" s="83"/>
      <c r="B320" s="550"/>
      <c r="C320" s="527"/>
      <c r="D320" s="65" t="s">
        <v>88</v>
      </c>
      <c r="E320" s="15">
        <v>0.1</v>
      </c>
      <c r="F320" s="15"/>
      <c r="G320" s="15"/>
      <c r="H320" s="15"/>
      <c r="I320" s="15">
        <v>0.1</v>
      </c>
      <c r="J320" s="37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"/>
    </row>
    <row r="321" spans="1:29" ht="31.5" x14ac:dyDescent="0.25">
      <c r="A321" s="83"/>
      <c r="B321" s="550"/>
      <c r="C321" s="527"/>
      <c r="D321" s="20" t="s">
        <v>46</v>
      </c>
      <c r="E321" s="13">
        <f>$E$31*E320</f>
        <v>796217.02</v>
      </c>
      <c r="F321" s="13"/>
      <c r="G321" s="13"/>
      <c r="H321" s="13"/>
      <c r="I321" s="13">
        <f>$I$31*I320</f>
        <v>1638259.4800000002</v>
      </c>
      <c r="J321" s="37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"/>
    </row>
    <row r="322" spans="1:29" s="54" customFormat="1" ht="24" customHeight="1" x14ac:dyDescent="0.25">
      <c r="A322" s="83"/>
      <c r="B322" s="550"/>
      <c r="C322" s="527"/>
      <c r="D322" s="66" t="s">
        <v>84</v>
      </c>
      <c r="E322" s="53">
        <v>30</v>
      </c>
      <c r="F322" s="53"/>
      <c r="G322" s="53"/>
      <c r="H322" s="53"/>
      <c r="I322" s="53">
        <v>30</v>
      </c>
      <c r="J322" s="63"/>
      <c r="AC322" s="55"/>
    </row>
    <row r="323" spans="1:29" ht="21" customHeight="1" x14ac:dyDescent="0.25">
      <c r="A323" s="83"/>
      <c r="B323" s="550"/>
      <c r="C323" s="528"/>
      <c r="D323" s="66" t="s">
        <v>85</v>
      </c>
      <c r="E323" s="59">
        <f>$E$9+E322</f>
        <v>42121</v>
      </c>
      <c r="F323" s="59"/>
      <c r="G323" s="59"/>
      <c r="H323" s="59"/>
      <c r="I323" s="59">
        <f>$E$9+I322</f>
        <v>42121</v>
      </c>
      <c r="J323" s="37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"/>
    </row>
    <row r="324" spans="1:29" ht="34.5" customHeight="1" x14ac:dyDescent="0.25">
      <c r="A324" s="83"/>
      <c r="B324" s="550"/>
      <c r="C324" s="529" t="s">
        <v>47</v>
      </c>
      <c r="D324" s="75" t="s">
        <v>93</v>
      </c>
      <c r="E324" s="76">
        <f>IF(OR(E$23&gt;E319,E$23=E319),IF(E$22&lt;E$6*0.9,E$22+0.1*E$6,IF(E$22&gt;1.1*E$6,E$22-0.1*E$6,E$6)),0)</f>
        <v>21.61</v>
      </c>
      <c r="F324" s="76"/>
      <c r="G324" s="76"/>
      <c r="H324" s="76"/>
      <c r="I324" s="76">
        <f>IF(OR(I$23&gt;I319,I$23=I319),IF(I$22&lt;I$6*0.9,I$22+0.1*I$6,IF(I$22&gt;1.1*I$6,I$22-0.1*I$6,I$6)),0)</f>
        <v>87.14</v>
      </c>
      <c r="J324" s="68"/>
      <c r="K324" s="70"/>
      <c r="L324" s="69">
        <f t="shared" ref="L324" si="25">IF(OR(K324&gt;0,M324&gt;0),1,0)</f>
        <v>0</v>
      </c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</row>
    <row r="325" spans="1:29" ht="34.5" customHeight="1" x14ac:dyDescent="0.25">
      <c r="A325" s="83"/>
      <c r="B325" s="550"/>
      <c r="C325" s="527"/>
      <c r="D325" s="75" t="s">
        <v>92</v>
      </c>
      <c r="E325" s="15">
        <v>0.1</v>
      </c>
      <c r="F325" s="15"/>
      <c r="G325" s="15"/>
      <c r="H325" s="15"/>
      <c r="I325" s="15">
        <v>0.1</v>
      </c>
      <c r="J325" s="68"/>
      <c r="K325" s="73"/>
      <c r="L325" s="74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</row>
    <row r="326" spans="1:29" ht="31.5" x14ac:dyDescent="0.25">
      <c r="A326" s="83"/>
      <c r="B326" s="550"/>
      <c r="C326" s="527"/>
      <c r="D326" s="20" t="s">
        <v>55</v>
      </c>
      <c r="E326" s="21">
        <f>E$31/E$6*E324*E325</f>
        <v>1237859.6980000001</v>
      </c>
      <c r="F326" s="21"/>
      <c r="G326" s="21"/>
      <c r="H326" s="21"/>
      <c r="I326" s="21">
        <f>I$31/I$6*I324*I325</f>
        <v>4991536.0520000001</v>
      </c>
      <c r="J326" s="37"/>
      <c r="K326" s="60"/>
      <c r="L326" s="6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83"/>
      <c r="B327" s="550"/>
      <c r="C327" s="527"/>
      <c r="D327" s="20" t="s">
        <v>44</v>
      </c>
      <c r="E327" s="21">
        <f>E326*0.18</f>
        <v>222814.74564000001</v>
      </c>
      <c r="F327" s="21"/>
      <c r="G327" s="21"/>
      <c r="H327" s="21"/>
      <c r="I327" s="21">
        <f>I326*0.18</f>
        <v>898476.48936000001</v>
      </c>
      <c r="J327" s="37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"/>
    </row>
    <row r="328" spans="1:29" ht="45" x14ac:dyDescent="0.25">
      <c r="A328" s="83"/>
      <c r="B328" s="550"/>
      <c r="C328" s="527"/>
      <c r="D328" s="20" t="s">
        <v>67</v>
      </c>
      <c r="E328" s="61" t="s">
        <v>94</v>
      </c>
      <c r="F328" s="61"/>
      <c r="G328" s="61"/>
      <c r="H328" s="61"/>
      <c r="I328" s="62" t="s">
        <v>87</v>
      </c>
      <c r="J328" s="37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"/>
    </row>
    <row r="329" spans="1:29" ht="18" customHeight="1" x14ac:dyDescent="0.25">
      <c r="A329" s="83"/>
      <c r="B329" s="550"/>
      <c r="C329" s="528"/>
      <c r="D329" s="20" t="s">
        <v>89</v>
      </c>
      <c r="E329" s="23">
        <v>43235</v>
      </c>
      <c r="F329" s="23"/>
      <c r="G329" s="23"/>
      <c r="H329" s="23"/>
      <c r="I329" s="23">
        <v>43235</v>
      </c>
      <c r="J329" s="37"/>
      <c r="K329" s="60"/>
      <c r="L329" s="60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</row>
    <row r="330" spans="1:29" ht="18" customHeight="1" x14ac:dyDescent="0.25">
      <c r="A330" s="83"/>
      <c r="B330" s="550"/>
      <c r="C330" s="530" t="s">
        <v>48</v>
      </c>
      <c r="D330" s="20" t="s">
        <v>56</v>
      </c>
      <c r="E330" s="21"/>
      <c r="F330" s="21"/>
      <c r="G330" s="21"/>
      <c r="H330" s="21"/>
      <c r="I330" s="21"/>
      <c r="J330" s="37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</row>
    <row r="331" spans="1:29" ht="15.75" customHeight="1" x14ac:dyDescent="0.25">
      <c r="A331" s="83"/>
      <c r="B331" s="550"/>
      <c r="C331" s="530"/>
      <c r="D331" s="20" t="s">
        <v>57</v>
      </c>
      <c r="E331" s="21"/>
      <c r="F331" s="21"/>
      <c r="G331" s="21"/>
      <c r="H331" s="21"/>
      <c r="I331" s="21"/>
      <c r="J331" s="37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</row>
    <row r="332" spans="1:29" ht="15.75" customHeight="1" x14ac:dyDescent="0.25">
      <c r="A332" s="83"/>
      <c r="B332" s="550"/>
      <c r="C332" s="534" t="s">
        <v>50</v>
      </c>
      <c r="D332" s="20" t="s">
        <v>41</v>
      </c>
      <c r="E332" s="3"/>
      <c r="F332" s="3"/>
      <c r="G332" s="3"/>
      <c r="H332" s="3"/>
      <c r="I332" s="3"/>
      <c r="J332" s="37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</row>
    <row r="333" spans="1:29" ht="15.75" customHeight="1" x14ac:dyDescent="0.25">
      <c r="A333" s="83"/>
      <c r="B333" s="550"/>
      <c r="C333" s="534"/>
      <c r="D333" s="20" t="s">
        <v>62</v>
      </c>
      <c r="E333" s="23"/>
      <c r="F333" s="23"/>
      <c r="G333" s="23"/>
      <c r="H333" s="23"/>
      <c r="I333" s="23"/>
      <c r="J333" s="37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</row>
    <row r="334" spans="1:29" ht="15.75" customHeight="1" x14ac:dyDescent="0.25">
      <c r="A334" s="83"/>
      <c r="B334" s="550"/>
      <c r="C334" s="535" t="s">
        <v>58</v>
      </c>
      <c r="D334" s="20" t="s">
        <v>63</v>
      </c>
      <c r="E334" s="3"/>
      <c r="F334" s="3"/>
      <c r="G334" s="3"/>
      <c r="H334" s="3"/>
      <c r="I334" s="3"/>
      <c r="J334" s="37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</row>
    <row r="335" spans="1:29" ht="15.75" customHeight="1" x14ac:dyDescent="0.25">
      <c r="A335" s="83"/>
      <c r="B335" s="550"/>
      <c r="C335" s="535"/>
      <c r="D335" s="20" t="s">
        <v>59</v>
      </c>
      <c r="E335" s="23"/>
      <c r="F335" s="23"/>
      <c r="G335" s="23"/>
      <c r="H335" s="23"/>
      <c r="I335" s="23"/>
      <c r="J335" s="37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</row>
    <row r="336" spans="1:29" ht="31.5" x14ac:dyDescent="0.25">
      <c r="A336" s="83"/>
      <c r="B336" s="550"/>
      <c r="C336" s="89"/>
      <c r="D336" s="20" t="s">
        <v>10</v>
      </c>
      <c r="E336" s="21">
        <f>$E$31*I318</f>
        <v>796217.02</v>
      </c>
      <c r="F336" s="21"/>
      <c r="G336" s="21"/>
      <c r="H336" s="21"/>
      <c r="I336" s="21">
        <f>$I$31*I318</f>
        <v>1638259.4800000002</v>
      </c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2"/>
      <c r="AC336" s="2"/>
    </row>
    <row r="337" spans="1:29" x14ac:dyDescent="0.25">
      <c r="A337" s="83"/>
      <c r="B337" s="550"/>
      <c r="C337" s="89"/>
      <c r="D337" s="20" t="s">
        <v>11</v>
      </c>
      <c r="E337" s="23"/>
      <c r="F337" s="23"/>
      <c r="G337" s="23"/>
      <c r="H337" s="23"/>
      <c r="I337" s="21">
        <v>6989709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83"/>
      <c r="B338" s="550"/>
      <c r="C338" s="89"/>
      <c r="D338" s="20" t="s">
        <v>0</v>
      </c>
      <c r="E338" s="3"/>
      <c r="F338" s="3"/>
      <c r="G338" s="3"/>
      <c r="H338" s="3"/>
      <c r="I338" s="28">
        <v>43595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83"/>
      <c r="B339" s="550"/>
      <c r="C339" s="89"/>
      <c r="D339" s="20" t="s">
        <v>2</v>
      </c>
      <c r="E339" s="3"/>
      <c r="F339" s="3"/>
      <c r="G339" s="3"/>
      <c r="H339" s="3"/>
      <c r="I339" s="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s="16" customFormat="1" ht="31.5" x14ac:dyDescent="0.25">
      <c r="A340" s="83"/>
      <c r="B340" s="550"/>
      <c r="C340" s="89"/>
      <c r="D340" s="20" t="s">
        <v>3</v>
      </c>
      <c r="E340" s="3"/>
      <c r="F340" s="3"/>
      <c r="G340" s="3"/>
      <c r="H340" s="3"/>
      <c r="I340" s="3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x14ac:dyDescent="0.25">
      <c r="A341" s="83"/>
      <c r="B341" s="550"/>
      <c r="C341" s="89"/>
      <c r="D341" s="20" t="s">
        <v>1</v>
      </c>
      <c r="E341" s="3"/>
      <c r="F341" s="3"/>
      <c r="G341" s="3"/>
      <c r="H341" s="3"/>
      <c r="I341" s="3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83"/>
      <c r="B342" s="550" t="s">
        <v>23</v>
      </c>
      <c r="C342" s="89"/>
      <c r="D342" s="14"/>
      <c r="E342" s="27">
        <v>0.1</v>
      </c>
      <c r="F342" s="27"/>
      <c r="G342" s="27"/>
      <c r="H342" s="27"/>
      <c r="I342" s="27">
        <v>0.1</v>
      </c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"/>
    </row>
    <row r="343" spans="1:29" ht="15.75" customHeight="1" x14ac:dyDescent="0.25">
      <c r="A343" s="83"/>
      <c r="B343" s="550"/>
      <c r="C343" s="529" t="s">
        <v>45</v>
      </c>
      <c r="D343" s="49" t="s">
        <v>91</v>
      </c>
      <c r="E343" s="13">
        <v>1</v>
      </c>
      <c r="F343" s="13"/>
      <c r="G343" s="13"/>
      <c r="H343" s="13"/>
      <c r="I343" s="13">
        <v>1</v>
      </c>
      <c r="J343" s="37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"/>
    </row>
    <row r="344" spans="1:29" ht="31.5" customHeight="1" x14ac:dyDescent="0.25">
      <c r="A344" s="83"/>
      <c r="B344" s="550"/>
      <c r="C344" s="527"/>
      <c r="D344" s="65" t="s">
        <v>88</v>
      </c>
      <c r="E344" s="15">
        <v>0.1</v>
      </c>
      <c r="F344" s="15"/>
      <c r="G344" s="15"/>
      <c r="H344" s="15"/>
      <c r="I344" s="15">
        <v>0.1</v>
      </c>
      <c r="J344" s="37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"/>
    </row>
    <row r="345" spans="1:29" ht="31.5" x14ac:dyDescent="0.25">
      <c r="A345" s="83"/>
      <c r="B345" s="550"/>
      <c r="C345" s="527"/>
      <c r="D345" s="20" t="s">
        <v>46</v>
      </c>
      <c r="E345" s="13">
        <f>$E$31*E344</f>
        <v>796217.02</v>
      </c>
      <c r="F345" s="13"/>
      <c r="G345" s="13"/>
      <c r="H345" s="13"/>
      <c r="I345" s="13">
        <f>$I$31*I344</f>
        <v>1638259.4800000002</v>
      </c>
      <c r="J345" s="37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"/>
    </row>
    <row r="346" spans="1:29" s="54" customFormat="1" ht="24" customHeight="1" x14ac:dyDescent="0.25">
      <c r="A346" s="83"/>
      <c r="B346" s="550"/>
      <c r="C346" s="527"/>
      <c r="D346" s="66" t="s">
        <v>84</v>
      </c>
      <c r="E346" s="53">
        <v>30</v>
      </c>
      <c r="F346" s="53"/>
      <c r="G346" s="53"/>
      <c r="H346" s="53"/>
      <c r="I346" s="53">
        <v>30</v>
      </c>
      <c r="J346" s="63"/>
      <c r="AC346" s="55"/>
    </row>
    <row r="347" spans="1:29" ht="21" customHeight="1" x14ac:dyDescent="0.25">
      <c r="A347" s="83"/>
      <c r="B347" s="550"/>
      <c r="C347" s="528"/>
      <c r="D347" s="66" t="s">
        <v>85</v>
      </c>
      <c r="E347" s="59">
        <f>$E$9+E346</f>
        <v>42121</v>
      </c>
      <c r="F347" s="59"/>
      <c r="G347" s="59"/>
      <c r="H347" s="59"/>
      <c r="I347" s="59">
        <f>$E$9+I346</f>
        <v>42121</v>
      </c>
      <c r="J347" s="37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"/>
    </row>
    <row r="348" spans="1:29" ht="34.5" customHeight="1" x14ac:dyDescent="0.25">
      <c r="A348" s="83"/>
      <c r="B348" s="550"/>
      <c r="C348" s="529" t="s">
        <v>47</v>
      </c>
      <c r="D348" s="75" t="s">
        <v>93</v>
      </c>
      <c r="E348" s="76">
        <f>IF(OR(E$23&gt;E343,E$23=E343),IF(E$22&lt;E$6*0.9,E$22+0.1*E$6,IF(E$22&gt;1.1*E$6,E$22-0.1*E$6,E$6)),0)</f>
        <v>21.61</v>
      </c>
      <c r="F348" s="76"/>
      <c r="G348" s="76"/>
      <c r="H348" s="76"/>
      <c r="I348" s="76">
        <f>IF(OR(I$23&gt;I343,I$23=I343),IF(I$22&lt;I$6*0.9,I$22+0.1*I$6,IF(I$22&gt;1.1*I$6,I$22-0.1*I$6,I$6)),0)</f>
        <v>87.14</v>
      </c>
      <c r="J348" s="68"/>
      <c r="K348" s="70"/>
      <c r="L348" s="69">
        <f t="shared" ref="L348" si="26">IF(OR(K348&gt;0,M348&gt;0),1,0)</f>
        <v>0</v>
      </c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</row>
    <row r="349" spans="1:29" ht="34.5" customHeight="1" x14ac:dyDescent="0.25">
      <c r="A349" s="83"/>
      <c r="B349" s="550"/>
      <c r="C349" s="527"/>
      <c r="D349" s="75" t="s">
        <v>92</v>
      </c>
      <c r="E349" s="15">
        <v>0.1</v>
      </c>
      <c r="F349" s="15"/>
      <c r="G349" s="15"/>
      <c r="H349" s="15"/>
      <c r="I349" s="15">
        <v>0.1</v>
      </c>
      <c r="J349" s="68"/>
      <c r="K349" s="73"/>
      <c r="L349" s="74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</row>
    <row r="350" spans="1:29" ht="31.5" x14ac:dyDescent="0.25">
      <c r="A350" s="83"/>
      <c r="B350" s="550"/>
      <c r="C350" s="527"/>
      <c r="D350" s="20" t="s">
        <v>55</v>
      </c>
      <c r="E350" s="21">
        <f>E$31/E$6*E348*E349</f>
        <v>1237859.6980000001</v>
      </c>
      <c r="F350" s="21"/>
      <c r="G350" s="21"/>
      <c r="H350" s="21"/>
      <c r="I350" s="21">
        <f>I$31/I$6*I348*I349</f>
        <v>4991536.0520000001</v>
      </c>
      <c r="J350" s="37"/>
      <c r="K350" s="60"/>
      <c r="L350" s="6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83"/>
      <c r="B351" s="550"/>
      <c r="C351" s="527"/>
      <c r="D351" s="20" t="s">
        <v>44</v>
      </c>
      <c r="E351" s="21">
        <f>E350*0.18</f>
        <v>222814.74564000001</v>
      </c>
      <c r="F351" s="21"/>
      <c r="G351" s="21"/>
      <c r="H351" s="21"/>
      <c r="I351" s="21">
        <f>I350*0.18</f>
        <v>898476.48936000001</v>
      </c>
      <c r="J351" s="37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"/>
    </row>
    <row r="352" spans="1:29" ht="45" x14ac:dyDescent="0.25">
      <c r="A352" s="83"/>
      <c r="B352" s="550"/>
      <c r="C352" s="527"/>
      <c r="D352" s="20" t="s">
        <v>67</v>
      </c>
      <c r="E352" s="61" t="s">
        <v>94</v>
      </c>
      <c r="F352" s="61"/>
      <c r="G352" s="61"/>
      <c r="H352" s="61"/>
      <c r="I352" s="62" t="s">
        <v>87</v>
      </c>
      <c r="J352" s="37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"/>
    </row>
    <row r="353" spans="1:29" ht="18" customHeight="1" x14ac:dyDescent="0.25">
      <c r="A353" s="83"/>
      <c r="B353" s="550"/>
      <c r="C353" s="528"/>
      <c r="D353" s="20" t="s">
        <v>89</v>
      </c>
      <c r="E353" s="23">
        <v>43235</v>
      </c>
      <c r="F353" s="23"/>
      <c r="G353" s="23"/>
      <c r="H353" s="23"/>
      <c r="I353" s="23">
        <v>43235</v>
      </c>
      <c r="J353" s="37"/>
      <c r="K353" s="60"/>
      <c r="L353" s="60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</row>
    <row r="354" spans="1:29" ht="18" customHeight="1" x14ac:dyDescent="0.25">
      <c r="A354" s="83"/>
      <c r="B354" s="550"/>
      <c r="C354" s="530" t="s">
        <v>48</v>
      </c>
      <c r="D354" s="20" t="s">
        <v>56</v>
      </c>
      <c r="E354" s="21"/>
      <c r="F354" s="21"/>
      <c r="G354" s="21"/>
      <c r="H354" s="21"/>
      <c r="I354" s="21"/>
      <c r="J354" s="37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</row>
    <row r="355" spans="1:29" ht="15.75" customHeight="1" x14ac:dyDescent="0.25">
      <c r="A355" s="83"/>
      <c r="B355" s="550"/>
      <c r="C355" s="530"/>
      <c r="D355" s="20" t="s">
        <v>57</v>
      </c>
      <c r="E355" s="21"/>
      <c r="F355" s="21"/>
      <c r="G355" s="21"/>
      <c r="H355" s="21"/>
      <c r="I355" s="21"/>
      <c r="J355" s="37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</row>
    <row r="356" spans="1:29" ht="15.75" customHeight="1" x14ac:dyDescent="0.25">
      <c r="A356" s="83"/>
      <c r="B356" s="550"/>
      <c r="C356" s="534" t="s">
        <v>50</v>
      </c>
      <c r="D356" s="20" t="s">
        <v>41</v>
      </c>
      <c r="E356" s="3"/>
      <c r="F356" s="3"/>
      <c r="G356" s="3"/>
      <c r="H356" s="3"/>
      <c r="I356" s="3"/>
      <c r="J356" s="37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</row>
    <row r="357" spans="1:29" ht="15.75" customHeight="1" x14ac:dyDescent="0.25">
      <c r="A357" s="83"/>
      <c r="B357" s="550"/>
      <c r="C357" s="534"/>
      <c r="D357" s="20" t="s">
        <v>62</v>
      </c>
      <c r="E357" s="23"/>
      <c r="F357" s="23"/>
      <c r="G357" s="23"/>
      <c r="H357" s="23"/>
      <c r="I357" s="23"/>
      <c r="J357" s="37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</row>
    <row r="358" spans="1:29" ht="15.75" customHeight="1" x14ac:dyDescent="0.25">
      <c r="A358" s="83"/>
      <c r="B358" s="550"/>
      <c r="C358" s="535" t="s">
        <v>58</v>
      </c>
      <c r="D358" s="20" t="s">
        <v>63</v>
      </c>
      <c r="E358" s="3"/>
      <c r="F358" s="3"/>
      <c r="G358" s="3"/>
      <c r="H358" s="3"/>
      <c r="I358" s="3"/>
      <c r="J358" s="37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</row>
    <row r="359" spans="1:29" ht="15.75" customHeight="1" x14ac:dyDescent="0.25">
      <c r="A359" s="83"/>
      <c r="B359" s="550"/>
      <c r="C359" s="535"/>
      <c r="D359" s="20" t="s">
        <v>59</v>
      </c>
      <c r="E359" s="23"/>
      <c r="F359" s="23"/>
      <c r="G359" s="23"/>
      <c r="H359" s="23"/>
      <c r="I359" s="23"/>
      <c r="J359" s="37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</row>
    <row r="360" spans="1:29" ht="31.5" x14ac:dyDescent="0.25">
      <c r="A360" s="83"/>
      <c r="B360" s="550"/>
      <c r="C360" s="89"/>
      <c r="D360" s="20" t="s">
        <v>10</v>
      </c>
      <c r="E360" s="21">
        <f>$E$31*I342</f>
        <v>796217.02</v>
      </c>
      <c r="F360" s="21"/>
      <c r="G360" s="21"/>
      <c r="H360" s="21"/>
      <c r="I360" s="21">
        <f>$I$31*I342</f>
        <v>1638259.4800000002</v>
      </c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2"/>
    </row>
    <row r="361" spans="1:29" x14ac:dyDescent="0.25">
      <c r="A361" s="83"/>
      <c r="B361" s="550"/>
      <c r="C361" s="89"/>
      <c r="D361" s="20" t="s">
        <v>11</v>
      </c>
      <c r="E361" s="23"/>
      <c r="F361" s="23"/>
      <c r="G361" s="23"/>
      <c r="H361" s="23"/>
      <c r="I361" s="21">
        <f>6989709/2</f>
        <v>3494854.5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83"/>
      <c r="B362" s="550"/>
      <c r="C362" s="89"/>
      <c r="D362" s="20"/>
      <c r="E362" s="23"/>
      <c r="F362" s="23"/>
      <c r="G362" s="23"/>
      <c r="H362" s="23"/>
      <c r="I362" s="21">
        <f>6989709/2</f>
        <v>3494854.5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83"/>
      <c r="B363" s="550"/>
      <c r="C363" s="89"/>
      <c r="D363" s="20"/>
      <c r="E363" s="23"/>
      <c r="F363" s="23"/>
      <c r="G363" s="23"/>
      <c r="H363" s="23"/>
      <c r="I363" s="2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s="16" customFormat="1" x14ac:dyDescent="0.25">
      <c r="A364" s="83"/>
      <c r="B364" s="550"/>
      <c r="C364" s="89"/>
      <c r="D364" s="20"/>
      <c r="E364" s="23"/>
      <c r="F364" s="23"/>
      <c r="G364" s="23"/>
      <c r="H364" s="23"/>
      <c r="I364" s="21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x14ac:dyDescent="0.25">
      <c r="A365" s="83"/>
      <c r="B365" s="550"/>
      <c r="C365" s="89"/>
      <c r="D365" s="20" t="s">
        <v>0</v>
      </c>
      <c r="E365" s="3"/>
      <c r="F365" s="3"/>
      <c r="G365" s="3"/>
      <c r="H365" s="3"/>
      <c r="I365" s="33">
        <v>43521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83"/>
      <c r="B366" s="550"/>
      <c r="C366" s="89"/>
      <c r="D366" s="20"/>
      <c r="E366" s="3"/>
      <c r="F366" s="3"/>
      <c r="G366" s="3"/>
      <c r="H366" s="3"/>
      <c r="I366" s="33">
        <v>43591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83"/>
      <c r="B367" s="550"/>
      <c r="C367" s="89"/>
      <c r="D367" s="20"/>
      <c r="E367" s="3"/>
      <c r="F367" s="3"/>
      <c r="G367" s="3"/>
      <c r="H367" s="3"/>
      <c r="I367" s="33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83"/>
      <c r="B368" s="550"/>
      <c r="C368" s="89"/>
      <c r="D368" s="20" t="s">
        <v>2</v>
      </c>
      <c r="E368" s="3"/>
      <c r="F368" s="3"/>
      <c r="G368" s="3"/>
      <c r="H368" s="3"/>
      <c r="I368" s="3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31.5" x14ac:dyDescent="0.25">
      <c r="A369" s="83"/>
      <c r="B369" s="550"/>
      <c r="C369" s="89"/>
      <c r="D369" s="20" t="s">
        <v>3</v>
      </c>
      <c r="E369" s="3"/>
      <c r="F369" s="3"/>
      <c r="G369" s="3"/>
      <c r="H369" s="3"/>
      <c r="I369" s="3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83"/>
      <c r="B370" s="550"/>
      <c r="C370" s="89"/>
      <c r="D370" s="20" t="s">
        <v>1</v>
      </c>
      <c r="E370" s="3"/>
      <c r="F370" s="3"/>
      <c r="G370" s="3"/>
      <c r="H370" s="3"/>
      <c r="I370" s="3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s="16" customFormat="1" x14ac:dyDescent="0.25">
      <c r="A371" s="83"/>
      <c r="B371" s="550" t="s">
        <v>24</v>
      </c>
      <c r="C371" s="89"/>
      <c r="D371" s="14"/>
      <c r="E371" s="27">
        <v>0.1</v>
      </c>
      <c r="F371" s="27"/>
      <c r="G371" s="27"/>
      <c r="H371" s="27"/>
      <c r="I371" s="27">
        <v>0.1</v>
      </c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15.75" customHeight="1" x14ac:dyDescent="0.25">
      <c r="A372" s="83"/>
      <c r="B372" s="550"/>
      <c r="C372" s="529" t="s">
        <v>45</v>
      </c>
      <c r="D372" s="49" t="s">
        <v>91</v>
      </c>
      <c r="E372" s="13">
        <v>1</v>
      </c>
      <c r="F372" s="13"/>
      <c r="G372" s="13"/>
      <c r="H372" s="13"/>
      <c r="I372" s="13">
        <v>1</v>
      </c>
      <c r="J372" s="37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"/>
    </row>
    <row r="373" spans="1:29" ht="31.5" customHeight="1" x14ac:dyDescent="0.25">
      <c r="A373" s="83"/>
      <c r="B373" s="550"/>
      <c r="C373" s="527"/>
      <c r="D373" s="65" t="s">
        <v>88</v>
      </c>
      <c r="E373" s="15">
        <v>0.1</v>
      </c>
      <c r="F373" s="15"/>
      <c r="G373" s="15"/>
      <c r="H373" s="15"/>
      <c r="I373" s="15">
        <v>0.1</v>
      </c>
      <c r="J373" s="37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"/>
    </row>
    <row r="374" spans="1:29" ht="31.5" x14ac:dyDescent="0.25">
      <c r="A374" s="83"/>
      <c r="B374" s="550"/>
      <c r="C374" s="527"/>
      <c r="D374" s="20" t="s">
        <v>46</v>
      </c>
      <c r="E374" s="13">
        <f>$E$31*E373</f>
        <v>796217.02</v>
      </c>
      <c r="F374" s="13"/>
      <c r="G374" s="13"/>
      <c r="H374" s="13"/>
      <c r="I374" s="13">
        <f>$I$31*I373</f>
        <v>1638259.4800000002</v>
      </c>
      <c r="J374" s="37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"/>
    </row>
    <row r="375" spans="1:29" s="54" customFormat="1" ht="24" customHeight="1" x14ac:dyDescent="0.25">
      <c r="A375" s="83"/>
      <c r="B375" s="550"/>
      <c r="C375" s="527"/>
      <c r="D375" s="66" t="s">
        <v>84</v>
      </c>
      <c r="E375" s="53">
        <v>30</v>
      </c>
      <c r="F375" s="53"/>
      <c r="G375" s="53"/>
      <c r="H375" s="53"/>
      <c r="I375" s="53">
        <v>30</v>
      </c>
      <c r="J375" s="63"/>
      <c r="AC375" s="55"/>
    </row>
    <row r="376" spans="1:29" ht="21" customHeight="1" x14ac:dyDescent="0.25">
      <c r="A376" s="83"/>
      <c r="B376" s="550"/>
      <c r="C376" s="528"/>
      <c r="D376" s="66" t="s">
        <v>85</v>
      </c>
      <c r="E376" s="59">
        <f>$E$9+E375</f>
        <v>42121</v>
      </c>
      <c r="F376" s="59"/>
      <c r="G376" s="59"/>
      <c r="H376" s="59"/>
      <c r="I376" s="59">
        <f>$E$9+I375</f>
        <v>42121</v>
      </c>
      <c r="J376" s="37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"/>
    </row>
    <row r="377" spans="1:29" ht="34.5" customHeight="1" x14ac:dyDescent="0.25">
      <c r="A377" s="83"/>
      <c r="B377" s="550"/>
      <c r="C377" s="529" t="s">
        <v>47</v>
      </c>
      <c r="D377" s="75" t="s">
        <v>93</v>
      </c>
      <c r="E377" s="76">
        <f>IF(OR(E$23&gt;E372,E$23=E372),IF(E$22&lt;E$6*0.9,E$22+0.1*E$6,IF(E$22&gt;1.1*E$6,E$22-0.1*E$6,E$6)),0)</f>
        <v>21.61</v>
      </c>
      <c r="F377" s="76"/>
      <c r="G377" s="76"/>
      <c r="H377" s="76"/>
      <c r="I377" s="76">
        <f>IF(OR(I$23&gt;I372,I$23=I372),IF(I$22&lt;I$6*0.9,I$22+0.1*I$6,IF(I$22&gt;1.1*I$6,I$22-0.1*I$6,I$6)),0)</f>
        <v>87.14</v>
      </c>
      <c r="J377" s="68"/>
      <c r="K377" s="70"/>
      <c r="L377" s="69">
        <f t="shared" ref="L377" si="27">IF(OR(K377&gt;0,M377&gt;0),1,0)</f>
        <v>0</v>
      </c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</row>
    <row r="378" spans="1:29" ht="34.5" customHeight="1" x14ac:dyDescent="0.25">
      <c r="A378" s="83"/>
      <c r="B378" s="550"/>
      <c r="C378" s="527"/>
      <c r="D378" s="75" t="s">
        <v>92</v>
      </c>
      <c r="E378" s="15">
        <v>0.1</v>
      </c>
      <c r="F378" s="15"/>
      <c r="G378" s="15"/>
      <c r="H378" s="15"/>
      <c r="I378" s="15">
        <v>0.1</v>
      </c>
      <c r="J378" s="68"/>
      <c r="K378" s="73"/>
      <c r="L378" s="74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</row>
    <row r="379" spans="1:29" ht="31.5" x14ac:dyDescent="0.25">
      <c r="A379" s="83"/>
      <c r="B379" s="550"/>
      <c r="C379" s="527"/>
      <c r="D379" s="20" t="s">
        <v>55</v>
      </c>
      <c r="E379" s="21">
        <f>E$31/E$6*E377*E378</f>
        <v>1237859.6980000001</v>
      </c>
      <c r="F379" s="21"/>
      <c r="G379" s="21"/>
      <c r="H379" s="21"/>
      <c r="I379" s="21">
        <f>I$31/I$6*I377*I378</f>
        <v>4991536.0520000001</v>
      </c>
      <c r="J379" s="37"/>
      <c r="K379" s="60"/>
      <c r="L379" s="6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83"/>
      <c r="B380" s="550"/>
      <c r="C380" s="527"/>
      <c r="D380" s="20" t="s">
        <v>44</v>
      </c>
      <c r="E380" s="21">
        <f>E379*0.18</f>
        <v>222814.74564000001</v>
      </c>
      <c r="F380" s="21"/>
      <c r="G380" s="21"/>
      <c r="H380" s="21"/>
      <c r="I380" s="21">
        <f>I379*0.18</f>
        <v>898476.48936000001</v>
      </c>
      <c r="J380" s="37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"/>
    </row>
    <row r="381" spans="1:29" ht="45" x14ac:dyDescent="0.25">
      <c r="A381" s="83"/>
      <c r="B381" s="550"/>
      <c r="C381" s="527"/>
      <c r="D381" s="20" t="s">
        <v>67</v>
      </c>
      <c r="E381" s="61" t="s">
        <v>94</v>
      </c>
      <c r="F381" s="61"/>
      <c r="G381" s="61"/>
      <c r="H381" s="61"/>
      <c r="I381" s="62" t="s">
        <v>87</v>
      </c>
      <c r="J381" s="37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"/>
    </row>
    <row r="382" spans="1:29" ht="18" customHeight="1" x14ac:dyDescent="0.25">
      <c r="A382" s="83"/>
      <c r="B382" s="550"/>
      <c r="C382" s="528"/>
      <c r="D382" s="20" t="s">
        <v>89</v>
      </c>
      <c r="E382" s="23">
        <v>43235</v>
      </c>
      <c r="F382" s="23"/>
      <c r="G382" s="23"/>
      <c r="H382" s="23"/>
      <c r="I382" s="23">
        <v>43235</v>
      </c>
      <c r="J382" s="37"/>
      <c r="K382" s="60"/>
      <c r="L382" s="60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</row>
    <row r="383" spans="1:29" ht="18" customHeight="1" x14ac:dyDescent="0.25">
      <c r="A383" s="83"/>
      <c r="B383" s="550"/>
      <c r="C383" s="530" t="s">
        <v>48</v>
      </c>
      <c r="D383" s="20" t="s">
        <v>56</v>
      </c>
      <c r="E383" s="21"/>
      <c r="F383" s="21"/>
      <c r="G383" s="21"/>
      <c r="H383" s="21"/>
      <c r="I383" s="21"/>
      <c r="J383" s="37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</row>
    <row r="384" spans="1:29" ht="15.75" customHeight="1" x14ac:dyDescent="0.25">
      <c r="A384" s="83"/>
      <c r="B384" s="550"/>
      <c r="C384" s="530"/>
      <c r="D384" s="20" t="s">
        <v>57</v>
      </c>
      <c r="E384" s="21"/>
      <c r="F384" s="21"/>
      <c r="G384" s="21"/>
      <c r="H384" s="21"/>
      <c r="I384" s="21"/>
      <c r="J384" s="37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</row>
    <row r="385" spans="1:29" ht="15.75" customHeight="1" x14ac:dyDescent="0.25">
      <c r="A385" s="83"/>
      <c r="B385" s="550"/>
      <c r="C385" s="534" t="s">
        <v>50</v>
      </c>
      <c r="D385" s="20" t="s">
        <v>41</v>
      </c>
      <c r="E385" s="3"/>
      <c r="F385" s="3"/>
      <c r="G385" s="3"/>
      <c r="H385" s="3"/>
      <c r="I385" s="3"/>
      <c r="J385" s="37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</row>
    <row r="386" spans="1:29" ht="15.75" customHeight="1" x14ac:dyDescent="0.25">
      <c r="A386" s="83"/>
      <c r="B386" s="550"/>
      <c r="C386" s="534"/>
      <c r="D386" s="20" t="s">
        <v>62</v>
      </c>
      <c r="E386" s="23"/>
      <c r="F386" s="23"/>
      <c r="G386" s="23"/>
      <c r="H386" s="23"/>
      <c r="I386" s="23"/>
      <c r="J386" s="37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</row>
    <row r="387" spans="1:29" ht="15.75" customHeight="1" x14ac:dyDescent="0.25">
      <c r="A387" s="83"/>
      <c r="B387" s="550"/>
      <c r="C387" s="535" t="s">
        <v>58</v>
      </c>
      <c r="D387" s="20" t="s">
        <v>63</v>
      </c>
      <c r="E387" s="3"/>
      <c r="F387" s="3"/>
      <c r="G387" s="3"/>
      <c r="H387" s="3"/>
      <c r="I387" s="3"/>
      <c r="J387" s="37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</row>
    <row r="388" spans="1:29" ht="15.75" customHeight="1" x14ac:dyDescent="0.25">
      <c r="A388" s="83"/>
      <c r="B388" s="550"/>
      <c r="C388" s="535"/>
      <c r="D388" s="20" t="s">
        <v>59</v>
      </c>
      <c r="E388" s="23"/>
      <c r="F388" s="23"/>
      <c r="G388" s="23"/>
      <c r="H388" s="23"/>
      <c r="I388" s="23"/>
      <c r="J388" s="37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</row>
    <row r="389" spans="1:29" ht="31.5" x14ac:dyDescent="0.25">
      <c r="A389" s="83"/>
      <c r="B389" s="550"/>
      <c r="C389" s="89"/>
      <c r="D389" s="20" t="s">
        <v>10</v>
      </c>
      <c r="E389" s="21">
        <f>$E$31*I371</f>
        <v>796217.02</v>
      </c>
      <c r="F389" s="21"/>
      <c r="G389" s="21"/>
      <c r="H389" s="21"/>
      <c r="I389" s="21">
        <f>$I$31*I371</f>
        <v>1638259.4800000002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83"/>
      <c r="B390" s="550"/>
      <c r="C390" s="89"/>
      <c r="D390" s="20" t="s">
        <v>11</v>
      </c>
      <c r="E390" s="21"/>
      <c r="F390" s="21"/>
      <c r="G390" s="21"/>
      <c r="H390" s="21"/>
      <c r="I390" s="21">
        <f>6989709</f>
        <v>6989709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83"/>
      <c r="B391" s="550"/>
      <c r="C391" s="89"/>
      <c r="D391" s="20" t="s">
        <v>0</v>
      </c>
      <c r="E391" s="28"/>
      <c r="F391" s="28"/>
      <c r="G391" s="28"/>
      <c r="H391" s="28"/>
      <c r="I391" s="28">
        <v>43584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83"/>
      <c r="B392" s="550"/>
      <c r="C392" s="89"/>
      <c r="D392" s="20" t="s">
        <v>2</v>
      </c>
      <c r="E392" s="3"/>
      <c r="F392" s="3"/>
      <c r="G392" s="3"/>
      <c r="H392" s="3"/>
      <c r="I392" s="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31.5" x14ac:dyDescent="0.25">
      <c r="A393" s="83"/>
      <c r="B393" s="550"/>
      <c r="C393" s="89"/>
      <c r="D393" s="20" t="s">
        <v>3</v>
      </c>
      <c r="E393" s="3"/>
      <c r="F393" s="3"/>
      <c r="G393" s="3"/>
      <c r="H393" s="3"/>
      <c r="I393" s="3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83"/>
      <c r="B394" s="550"/>
      <c r="C394" s="89"/>
      <c r="D394" s="20" t="s">
        <v>1</v>
      </c>
      <c r="E394" s="3"/>
      <c r="F394" s="3"/>
      <c r="G394" s="3"/>
      <c r="H394" s="3"/>
      <c r="I394" s="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83"/>
      <c r="B395" s="550" t="s">
        <v>25</v>
      </c>
      <c r="C395" s="89"/>
      <c r="D395" s="14"/>
      <c r="E395" s="27">
        <v>0.05</v>
      </c>
      <c r="F395" s="27"/>
      <c r="G395" s="27"/>
      <c r="H395" s="27"/>
      <c r="I395" s="27">
        <v>0.05</v>
      </c>
    </row>
    <row r="396" spans="1:29" ht="15.75" customHeight="1" x14ac:dyDescent="0.25">
      <c r="A396" s="83"/>
      <c r="B396" s="550"/>
      <c r="C396" s="529" t="s">
        <v>45</v>
      </c>
      <c r="D396" s="49" t="s">
        <v>91</v>
      </c>
      <c r="E396" s="13">
        <v>1</v>
      </c>
      <c r="F396" s="13"/>
      <c r="G396" s="13"/>
      <c r="H396" s="13"/>
      <c r="I396" s="13">
        <v>1</v>
      </c>
      <c r="J396" s="37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"/>
    </row>
    <row r="397" spans="1:29" ht="31.5" customHeight="1" x14ac:dyDescent="0.25">
      <c r="A397" s="83"/>
      <c r="B397" s="550"/>
      <c r="C397" s="527"/>
      <c r="D397" s="65" t="s">
        <v>88</v>
      </c>
      <c r="E397" s="15">
        <v>0.1</v>
      </c>
      <c r="F397" s="15"/>
      <c r="G397" s="15"/>
      <c r="H397" s="15"/>
      <c r="I397" s="15">
        <v>0.1</v>
      </c>
      <c r="J397" s="37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"/>
    </row>
    <row r="398" spans="1:29" ht="31.5" x14ac:dyDescent="0.25">
      <c r="A398" s="83"/>
      <c r="B398" s="550"/>
      <c r="C398" s="527"/>
      <c r="D398" s="20" t="s">
        <v>46</v>
      </c>
      <c r="E398" s="13">
        <f>$E$31*E397</f>
        <v>796217.02</v>
      </c>
      <c r="F398" s="13"/>
      <c r="G398" s="13"/>
      <c r="H398" s="13"/>
      <c r="I398" s="13">
        <f>$I$31*I397</f>
        <v>1638259.4800000002</v>
      </c>
      <c r="J398" s="37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"/>
    </row>
    <row r="399" spans="1:29" s="54" customFormat="1" ht="24" customHeight="1" x14ac:dyDescent="0.25">
      <c r="A399" s="83"/>
      <c r="B399" s="550"/>
      <c r="C399" s="527"/>
      <c r="D399" s="66" t="s">
        <v>84</v>
      </c>
      <c r="E399" s="53">
        <v>30</v>
      </c>
      <c r="F399" s="53"/>
      <c r="G399" s="53"/>
      <c r="H399" s="53"/>
      <c r="I399" s="53">
        <v>30</v>
      </c>
      <c r="J399" s="63"/>
      <c r="AC399" s="55"/>
    </row>
    <row r="400" spans="1:29" ht="21" customHeight="1" x14ac:dyDescent="0.25">
      <c r="A400" s="83"/>
      <c r="B400" s="550"/>
      <c r="C400" s="528"/>
      <c r="D400" s="66" t="s">
        <v>85</v>
      </c>
      <c r="E400" s="59">
        <f>$E$9+E399</f>
        <v>42121</v>
      </c>
      <c r="F400" s="59"/>
      <c r="G400" s="59"/>
      <c r="H400" s="59"/>
      <c r="I400" s="59">
        <f>$E$9+I399</f>
        <v>42121</v>
      </c>
      <c r="J400" s="37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"/>
    </row>
    <row r="401" spans="1:29" ht="34.5" customHeight="1" x14ac:dyDescent="0.25">
      <c r="A401" s="83"/>
      <c r="B401" s="550"/>
      <c r="C401" s="529" t="s">
        <v>47</v>
      </c>
      <c r="D401" s="75" t="s">
        <v>93</v>
      </c>
      <c r="E401" s="76">
        <f>IF(OR(E$23&gt;E396,E$23=E396),IF(E$22&lt;E$6*0.9,E$22+0.1*E$6,IF(E$22&gt;1.1*E$6,E$22-0.1*E$6,E$6)),0)</f>
        <v>21.61</v>
      </c>
      <c r="F401" s="76"/>
      <c r="G401" s="76"/>
      <c r="H401" s="76"/>
      <c r="I401" s="76">
        <f>IF(OR(I$23&gt;I396,I$23=I396),IF(I$22&lt;I$6*0.9,I$22+0.1*I$6,IF(I$22&gt;1.1*I$6,I$22-0.1*I$6,I$6)),0)</f>
        <v>87.14</v>
      </c>
      <c r="J401" s="68"/>
      <c r="K401" s="70"/>
      <c r="L401" s="69">
        <f t="shared" ref="L401" si="28">IF(OR(K401&gt;0,M401&gt;0),1,0)</f>
        <v>0</v>
      </c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</row>
    <row r="402" spans="1:29" ht="34.5" customHeight="1" x14ac:dyDescent="0.25">
      <c r="A402" s="83"/>
      <c r="B402" s="550"/>
      <c r="C402" s="527"/>
      <c r="D402" s="75" t="s">
        <v>92</v>
      </c>
      <c r="E402" s="15">
        <v>0.1</v>
      </c>
      <c r="F402" s="15"/>
      <c r="G402" s="15"/>
      <c r="H402" s="15"/>
      <c r="I402" s="15">
        <v>0.1</v>
      </c>
      <c r="J402" s="68"/>
      <c r="K402" s="73"/>
      <c r="L402" s="74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</row>
    <row r="403" spans="1:29" ht="31.5" x14ac:dyDescent="0.25">
      <c r="A403" s="83"/>
      <c r="B403" s="550"/>
      <c r="C403" s="527"/>
      <c r="D403" s="20" t="s">
        <v>55</v>
      </c>
      <c r="E403" s="21">
        <f>E$31/E$6*E401*E402</f>
        <v>1237859.6980000001</v>
      </c>
      <c r="F403" s="21"/>
      <c r="G403" s="21"/>
      <c r="H403" s="21"/>
      <c r="I403" s="21">
        <f>I$31/I$6*I401*I402</f>
        <v>4991536.0520000001</v>
      </c>
      <c r="J403" s="37"/>
      <c r="K403" s="60"/>
      <c r="L403" s="6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83"/>
      <c r="B404" s="550"/>
      <c r="C404" s="527"/>
      <c r="D404" s="20" t="s">
        <v>44</v>
      </c>
      <c r="E404" s="21">
        <f>E403*0.18</f>
        <v>222814.74564000001</v>
      </c>
      <c r="F404" s="21"/>
      <c r="G404" s="21"/>
      <c r="H404" s="21"/>
      <c r="I404" s="21">
        <f>I403*0.18</f>
        <v>898476.48936000001</v>
      </c>
      <c r="J404" s="37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"/>
    </row>
    <row r="405" spans="1:29" ht="45" x14ac:dyDescent="0.25">
      <c r="A405" s="83"/>
      <c r="B405" s="550"/>
      <c r="C405" s="527"/>
      <c r="D405" s="20" t="s">
        <v>67</v>
      </c>
      <c r="E405" s="61" t="s">
        <v>94</v>
      </c>
      <c r="F405" s="61"/>
      <c r="G405" s="61"/>
      <c r="H405" s="61"/>
      <c r="I405" s="62" t="s">
        <v>87</v>
      </c>
      <c r="J405" s="37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"/>
    </row>
    <row r="406" spans="1:29" ht="18" customHeight="1" x14ac:dyDescent="0.25">
      <c r="A406" s="83"/>
      <c r="B406" s="550"/>
      <c r="C406" s="528"/>
      <c r="D406" s="20" t="s">
        <v>89</v>
      </c>
      <c r="E406" s="23">
        <v>43235</v>
      </c>
      <c r="F406" s="23"/>
      <c r="G406" s="23"/>
      <c r="H406" s="23"/>
      <c r="I406" s="23">
        <v>43235</v>
      </c>
      <c r="J406" s="37"/>
      <c r="K406" s="60"/>
      <c r="L406" s="60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</row>
    <row r="407" spans="1:29" ht="18" customHeight="1" x14ac:dyDescent="0.25">
      <c r="A407" s="83"/>
      <c r="B407" s="550"/>
      <c r="C407" s="530" t="s">
        <v>48</v>
      </c>
      <c r="D407" s="20" t="s">
        <v>56</v>
      </c>
      <c r="E407" s="21"/>
      <c r="F407" s="21"/>
      <c r="G407" s="21"/>
      <c r="H407" s="21"/>
      <c r="I407" s="21"/>
      <c r="J407" s="37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</row>
    <row r="408" spans="1:29" ht="15.75" customHeight="1" x14ac:dyDescent="0.25">
      <c r="A408" s="83"/>
      <c r="B408" s="550"/>
      <c r="C408" s="530"/>
      <c r="D408" s="20" t="s">
        <v>57</v>
      </c>
      <c r="E408" s="21"/>
      <c r="F408" s="21"/>
      <c r="G408" s="21"/>
      <c r="H408" s="21"/>
      <c r="I408" s="21"/>
      <c r="J408" s="37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</row>
    <row r="409" spans="1:29" ht="15.75" customHeight="1" x14ac:dyDescent="0.25">
      <c r="A409" s="83"/>
      <c r="B409" s="550"/>
      <c r="C409" s="534" t="s">
        <v>50</v>
      </c>
      <c r="D409" s="20" t="s">
        <v>41</v>
      </c>
      <c r="E409" s="3"/>
      <c r="F409" s="3"/>
      <c r="G409" s="3"/>
      <c r="H409" s="3"/>
      <c r="I409" s="3"/>
      <c r="J409" s="37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</row>
    <row r="410" spans="1:29" ht="15.75" customHeight="1" x14ac:dyDescent="0.25">
      <c r="A410" s="83"/>
      <c r="B410" s="550"/>
      <c r="C410" s="534"/>
      <c r="D410" s="20" t="s">
        <v>62</v>
      </c>
      <c r="E410" s="23"/>
      <c r="F410" s="23"/>
      <c r="G410" s="23"/>
      <c r="H410" s="23"/>
      <c r="I410" s="23"/>
      <c r="J410" s="37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</row>
    <row r="411" spans="1:29" ht="15.75" customHeight="1" x14ac:dyDescent="0.25">
      <c r="A411" s="83"/>
      <c r="B411" s="550"/>
      <c r="C411" s="535" t="s">
        <v>58</v>
      </c>
      <c r="D411" s="20" t="s">
        <v>63</v>
      </c>
      <c r="E411" s="3"/>
      <c r="F411" s="3"/>
      <c r="G411" s="3"/>
      <c r="H411" s="3"/>
      <c r="I411" s="3"/>
      <c r="J411" s="37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</row>
    <row r="412" spans="1:29" ht="15.75" customHeight="1" x14ac:dyDescent="0.25">
      <c r="A412" s="83"/>
      <c r="B412" s="550"/>
      <c r="C412" s="535"/>
      <c r="D412" s="20" t="s">
        <v>59</v>
      </c>
      <c r="E412" s="23"/>
      <c r="F412" s="23"/>
      <c r="G412" s="23"/>
      <c r="H412" s="23"/>
      <c r="I412" s="23"/>
      <c r="J412" s="37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</row>
    <row r="413" spans="1:29" ht="31.5" x14ac:dyDescent="0.25">
      <c r="A413" s="83"/>
      <c r="B413" s="550"/>
      <c r="C413" s="89"/>
      <c r="D413" s="20" t="s">
        <v>10</v>
      </c>
      <c r="E413" s="21">
        <f>$E$31*I395</f>
        <v>398108.51</v>
      </c>
      <c r="F413" s="21"/>
      <c r="G413" s="21"/>
      <c r="H413" s="21"/>
      <c r="I413" s="21">
        <f>$I$31*I395</f>
        <v>819129.74000000011</v>
      </c>
    </row>
    <row r="414" spans="1:29" x14ac:dyDescent="0.25">
      <c r="A414" s="83"/>
      <c r="B414" s="550"/>
      <c r="C414" s="89"/>
      <c r="D414" s="20" t="s">
        <v>11</v>
      </c>
      <c r="E414" s="21"/>
      <c r="F414" s="21"/>
      <c r="G414" s="21"/>
      <c r="H414" s="21"/>
      <c r="I414" s="21"/>
    </row>
    <row r="415" spans="1:29" x14ac:dyDescent="0.25">
      <c r="A415" s="83"/>
      <c r="B415" s="550"/>
      <c r="C415" s="89"/>
      <c r="D415" s="20" t="s">
        <v>0</v>
      </c>
      <c r="E415" s="28"/>
      <c r="F415" s="28"/>
      <c r="G415" s="28"/>
      <c r="H415" s="28"/>
      <c r="I415" s="28"/>
    </row>
    <row r="416" spans="1:29" x14ac:dyDescent="0.25">
      <c r="A416" s="83"/>
      <c r="B416" s="550"/>
      <c r="C416" s="89"/>
      <c r="D416" s="20" t="s">
        <v>2</v>
      </c>
      <c r="E416" s="3"/>
      <c r="F416" s="3"/>
      <c r="G416" s="3"/>
      <c r="H416" s="3"/>
      <c r="I416" s="3"/>
    </row>
    <row r="417" spans="1:29" ht="31.5" x14ac:dyDescent="0.25">
      <c r="A417" s="83"/>
      <c r="B417" s="550"/>
      <c r="C417" s="89"/>
      <c r="D417" s="20" t="s">
        <v>3</v>
      </c>
      <c r="E417" s="3"/>
      <c r="F417" s="3"/>
      <c r="G417" s="3"/>
      <c r="H417" s="3"/>
      <c r="I417" s="3"/>
    </row>
    <row r="418" spans="1:29" x14ac:dyDescent="0.25">
      <c r="A418" s="83"/>
      <c r="B418" s="550"/>
      <c r="C418" s="89"/>
      <c r="D418" s="20" t="s">
        <v>1</v>
      </c>
      <c r="E418" s="3"/>
      <c r="F418" s="3"/>
      <c r="G418" s="3"/>
      <c r="H418" s="3"/>
      <c r="I418" s="3"/>
    </row>
    <row r="419" spans="1:29" x14ac:dyDescent="0.25">
      <c r="A419" s="83"/>
      <c r="B419" s="550" t="s">
        <v>26</v>
      </c>
      <c r="C419" s="89"/>
      <c r="D419" s="14"/>
      <c r="E419" s="27">
        <v>0.01</v>
      </c>
      <c r="F419" s="27"/>
      <c r="G419" s="27"/>
      <c r="H419" s="27"/>
      <c r="I419" s="27">
        <v>0.01</v>
      </c>
    </row>
    <row r="420" spans="1:29" ht="15.75" customHeight="1" x14ac:dyDescent="0.25">
      <c r="A420" s="83"/>
      <c r="B420" s="550"/>
      <c r="C420" s="529" t="s">
        <v>45</v>
      </c>
      <c r="D420" s="49" t="s">
        <v>91</v>
      </c>
      <c r="E420" s="13">
        <v>1</v>
      </c>
      <c r="F420" s="13"/>
      <c r="G420" s="13"/>
      <c r="H420" s="13"/>
      <c r="I420" s="13">
        <v>1</v>
      </c>
      <c r="J420" s="37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"/>
    </row>
    <row r="421" spans="1:29" ht="31.5" customHeight="1" x14ac:dyDescent="0.25">
      <c r="A421" s="83"/>
      <c r="B421" s="550"/>
      <c r="C421" s="527"/>
      <c r="D421" s="65" t="s">
        <v>88</v>
      </c>
      <c r="E421" s="15">
        <v>0.1</v>
      </c>
      <c r="F421" s="15"/>
      <c r="G421" s="15"/>
      <c r="H421" s="15"/>
      <c r="I421" s="15">
        <v>0.1</v>
      </c>
      <c r="J421" s="37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"/>
    </row>
    <row r="422" spans="1:29" ht="31.5" x14ac:dyDescent="0.25">
      <c r="A422" s="83"/>
      <c r="B422" s="550"/>
      <c r="C422" s="527"/>
      <c r="D422" s="20" t="s">
        <v>46</v>
      </c>
      <c r="E422" s="13">
        <f>$E$31*E421</f>
        <v>796217.02</v>
      </c>
      <c r="F422" s="13"/>
      <c r="G422" s="13"/>
      <c r="H422" s="13"/>
      <c r="I422" s="13">
        <f>$I$31*I421</f>
        <v>1638259.4800000002</v>
      </c>
      <c r="J422" s="37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"/>
    </row>
    <row r="423" spans="1:29" s="54" customFormat="1" ht="24" customHeight="1" x14ac:dyDescent="0.25">
      <c r="A423" s="83"/>
      <c r="B423" s="550"/>
      <c r="C423" s="527"/>
      <c r="D423" s="66" t="s">
        <v>84</v>
      </c>
      <c r="E423" s="53">
        <v>30</v>
      </c>
      <c r="F423" s="53"/>
      <c r="G423" s="53"/>
      <c r="H423" s="53"/>
      <c r="I423" s="53">
        <v>30</v>
      </c>
      <c r="J423" s="63"/>
      <c r="AC423" s="55"/>
    </row>
    <row r="424" spans="1:29" ht="21" customHeight="1" x14ac:dyDescent="0.25">
      <c r="A424" s="83"/>
      <c r="B424" s="550"/>
      <c r="C424" s="528"/>
      <c r="D424" s="66" t="s">
        <v>85</v>
      </c>
      <c r="E424" s="59">
        <f>$E$9+E423</f>
        <v>42121</v>
      </c>
      <c r="F424" s="59"/>
      <c r="G424" s="59"/>
      <c r="H424" s="59"/>
      <c r="I424" s="59">
        <f>$E$9+I423</f>
        <v>42121</v>
      </c>
      <c r="J424" s="37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"/>
    </row>
    <row r="425" spans="1:29" ht="34.5" customHeight="1" x14ac:dyDescent="0.25">
      <c r="A425" s="83"/>
      <c r="B425" s="550"/>
      <c r="C425" s="529" t="s">
        <v>47</v>
      </c>
      <c r="D425" s="75" t="s">
        <v>93</v>
      </c>
      <c r="E425" s="76">
        <f>IF(OR(E$23&gt;E420,E$23=E420),IF(E$22&lt;E$6*0.9,E$22+0.1*E$6,IF(E$22&gt;1.1*E$6,E$22-0.1*E$6,E$6)),0)</f>
        <v>21.61</v>
      </c>
      <c r="F425" s="76"/>
      <c r="G425" s="76"/>
      <c r="H425" s="76"/>
      <c r="I425" s="76">
        <f>IF(OR(I$23&gt;I420,I$23=I420),IF(I$22&lt;I$6*0.9,I$22+0.1*I$6,IF(I$22&gt;1.1*I$6,I$22-0.1*I$6,I$6)),0)</f>
        <v>87.14</v>
      </c>
      <c r="J425" s="68"/>
      <c r="K425" s="70"/>
      <c r="L425" s="69">
        <f t="shared" ref="L425" si="29">IF(OR(K425&gt;0,M425&gt;0),1,0)</f>
        <v>0</v>
      </c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29" ht="34.5" customHeight="1" x14ac:dyDescent="0.25">
      <c r="A426" s="83"/>
      <c r="B426" s="550"/>
      <c r="C426" s="527"/>
      <c r="D426" s="75" t="s">
        <v>92</v>
      </c>
      <c r="E426" s="15">
        <v>0.1</v>
      </c>
      <c r="F426" s="15"/>
      <c r="G426" s="15"/>
      <c r="H426" s="15"/>
      <c r="I426" s="15">
        <v>0.1</v>
      </c>
      <c r="J426" s="68"/>
      <c r="K426" s="73"/>
      <c r="L426" s="74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29" ht="31.5" x14ac:dyDescent="0.25">
      <c r="A427" s="83"/>
      <c r="B427" s="550"/>
      <c r="C427" s="527"/>
      <c r="D427" s="20" t="s">
        <v>55</v>
      </c>
      <c r="E427" s="21">
        <f>E$31/E$6*E425*E426</f>
        <v>1237859.6980000001</v>
      </c>
      <c r="F427" s="21"/>
      <c r="G427" s="21"/>
      <c r="H427" s="21"/>
      <c r="I427" s="21">
        <f>I$31/I$6*I425*I426</f>
        <v>4991536.0520000001</v>
      </c>
      <c r="J427" s="37"/>
      <c r="K427" s="60"/>
      <c r="L427" s="6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83"/>
      <c r="B428" s="550"/>
      <c r="C428" s="527"/>
      <c r="D428" s="20" t="s">
        <v>44</v>
      </c>
      <c r="E428" s="21">
        <f>E427*0.18</f>
        <v>222814.74564000001</v>
      </c>
      <c r="F428" s="21"/>
      <c r="G428" s="21"/>
      <c r="H428" s="21"/>
      <c r="I428" s="21">
        <f>I427*0.18</f>
        <v>898476.48936000001</v>
      </c>
      <c r="J428" s="37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"/>
    </row>
    <row r="429" spans="1:29" ht="45" x14ac:dyDescent="0.25">
      <c r="A429" s="83"/>
      <c r="B429" s="550"/>
      <c r="C429" s="527"/>
      <c r="D429" s="20" t="s">
        <v>67</v>
      </c>
      <c r="E429" s="61" t="s">
        <v>94</v>
      </c>
      <c r="F429" s="61"/>
      <c r="G429" s="61"/>
      <c r="H429" s="61"/>
      <c r="I429" s="62" t="s">
        <v>87</v>
      </c>
      <c r="J429" s="37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"/>
    </row>
    <row r="430" spans="1:29" ht="18" customHeight="1" x14ac:dyDescent="0.25">
      <c r="A430" s="83"/>
      <c r="B430" s="550"/>
      <c r="C430" s="528"/>
      <c r="D430" s="20" t="s">
        <v>89</v>
      </c>
      <c r="E430" s="23">
        <v>43235</v>
      </c>
      <c r="F430" s="23"/>
      <c r="G430" s="23"/>
      <c r="H430" s="23"/>
      <c r="I430" s="23">
        <v>43235</v>
      </c>
      <c r="J430" s="37"/>
      <c r="K430" s="60"/>
      <c r="L430" s="60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29" ht="18" customHeight="1" x14ac:dyDescent="0.25">
      <c r="A431" s="83"/>
      <c r="B431" s="550"/>
      <c r="C431" s="530" t="s">
        <v>48</v>
      </c>
      <c r="D431" s="20" t="s">
        <v>56</v>
      </c>
      <c r="E431" s="21"/>
      <c r="F431" s="21"/>
      <c r="G431" s="21"/>
      <c r="H431" s="21"/>
      <c r="I431" s="21"/>
      <c r="J431" s="37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29" ht="15.75" customHeight="1" x14ac:dyDescent="0.25">
      <c r="A432" s="83"/>
      <c r="B432" s="550"/>
      <c r="C432" s="530"/>
      <c r="D432" s="20" t="s">
        <v>57</v>
      </c>
      <c r="E432" s="21"/>
      <c r="F432" s="21"/>
      <c r="G432" s="21"/>
      <c r="H432" s="21"/>
      <c r="I432" s="21"/>
      <c r="J432" s="37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 ht="15.75" customHeight="1" x14ac:dyDescent="0.25">
      <c r="A433" s="83"/>
      <c r="B433" s="550"/>
      <c r="C433" s="534" t="s">
        <v>50</v>
      </c>
      <c r="D433" s="20" t="s">
        <v>41</v>
      </c>
      <c r="E433" s="3"/>
      <c r="F433" s="3"/>
      <c r="G433" s="3"/>
      <c r="H433" s="3"/>
      <c r="I433" s="3"/>
      <c r="J433" s="37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 ht="15.75" customHeight="1" x14ac:dyDescent="0.25">
      <c r="A434" s="83"/>
      <c r="B434" s="550"/>
      <c r="C434" s="534"/>
      <c r="D434" s="20" t="s">
        <v>62</v>
      </c>
      <c r="E434" s="23"/>
      <c r="F434" s="23"/>
      <c r="G434" s="23"/>
      <c r="H434" s="23"/>
      <c r="I434" s="23"/>
      <c r="J434" s="37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 ht="15.75" customHeight="1" x14ac:dyDescent="0.25">
      <c r="A435" s="83"/>
      <c r="B435" s="550"/>
      <c r="C435" s="535" t="s">
        <v>58</v>
      </c>
      <c r="D435" s="20" t="s">
        <v>63</v>
      </c>
      <c r="E435" s="3"/>
      <c r="F435" s="3"/>
      <c r="G435" s="3"/>
      <c r="H435" s="3"/>
      <c r="I435" s="3"/>
      <c r="J435" s="37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 ht="15.75" customHeight="1" x14ac:dyDescent="0.25">
      <c r="A436" s="83"/>
      <c r="B436" s="550"/>
      <c r="C436" s="535"/>
      <c r="D436" s="20" t="s">
        <v>59</v>
      </c>
      <c r="E436" s="23"/>
      <c r="F436" s="23"/>
      <c r="G436" s="23"/>
      <c r="H436" s="23"/>
      <c r="I436" s="23"/>
      <c r="J436" s="37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 ht="31.5" x14ac:dyDescent="0.25">
      <c r="A437" s="83"/>
      <c r="B437" s="550"/>
      <c r="C437" s="89"/>
      <c r="D437" s="20" t="s">
        <v>10</v>
      </c>
      <c r="E437" s="21">
        <f>$E$31*I419</f>
        <v>79621.702000000005</v>
      </c>
      <c r="F437" s="21"/>
      <c r="G437" s="21"/>
      <c r="H437" s="21"/>
      <c r="I437" s="21">
        <f>$I$31*I419</f>
        <v>163825.948</v>
      </c>
    </row>
    <row r="438" spans="1:29" x14ac:dyDescent="0.25">
      <c r="A438" s="83"/>
      <c r="B438" s="550"/>
      <c r="C438" s="89"/>
      <c r="D438" s="20" t="s">
        <v>11</v>
      </c>
      <c r="E438" s="23"/>
      <c r="F438" s="23"/>
      <c r="G438" s="23"/>
      <c r="H438" s="23"/>
      <c r="I438" s="21">
        <f>I437</f>
        <v>163825.948</v>
      </c>
    </row>
    <row r="439" spans="1:29" x14ac:dyDescent="0.25">
      <c r="A439" s="83"/>
      <c r="B439" s="550"/>
      <c r="C439" s="89"/>
      <c r="D439" s="20" t="s">
        <v>0</v>
      </c>
      <c r="E439" s="3"/>
      <c r="F439" s="3"/>
      <c r="G439" s="3"/>
      <c r="H439" s="3"/>
      <c r="I439" s="28">
        <v>43270</v>
      </c>
    </row>
    <row r="440" spans="1:29" x14ac:dyDescent="0.25">
      <c r="A440" s="83"/>
      <c r="B440" s="550"/>
      <c r="C440" s="89"/>
      <c r="D440" s="20" t="s">
        <v>2</v>
      </c>
      <c r="E440" s="3"/>
      <c r="F440" s="3"/>
      <c r="G440" s="3"/>
      <c r="H440" s="3"/>
      <c r="I440" s="3"/>
    </row>
    <row r="441" spans="1:29" ht="31.5" x14ac:dyDescent="0.25">
      <c r="A441" s="83"/>
      <c r="B441" s="550"/>
      <c r="C441" s="89"/>
      <c r="D441" s="20" t="s">
        <v>3</v>
      </c>
      <c r="E441" s="3"/>
      <c r="F441" s="3"/>
      <c r="G441" s="3"/>
      <c r="H441" s="3"/>
      <c r="I441" s="3"/>
    </row>
    <row r="442" spans="1:29" x14ac:dyDescent="0.25">
      <c r="B442" s="550"/>
      <c r="C442" s="89"/>
      <c r="D442" s="20" t="s">
        <v>1</v>
      </c>
      <c r="E442" s="3"/>
      <c r="F442" s="3"/>
      <c r="G442" s="3"/>
      <c r="H442" s="3"/>
      <c r="I442" s="3"/>
    </row>
  </sheetData>
  <mergeCells count="118">
    <mergeCell ref="B419:B442"/>
    <mergeCell ref="C420:C424"/>
    <mergeCell ref="C425:C430"/>
    <mergeCell ref="C431:C432"/>
    <mergeCell ref="C433:C434"/>
    <mergeCell ref="C435:C436"/>
    <mergeCell ref="B395:B418"/>
    <mergeCell ref="C396:C400"/>
    <mergeCell ref="C401:C406"/>
    <mergeCell ref="C407:C408"/>
    <mergeCell ref="C409:C410"/>
    <mergeCell ref="C411:C412"/>
    <mergeCell ref="B371:B394"/>
    <mergeCell ref="C372:C376"/>
    <mergeCell ref="C377:C382"/>
    <mergeCell ref="C383:C384"/>
    <mergeCell ref="C385:C386"/>
    <mergeCell ref="C387:C388"/>
    <mergeCell ref="B342:B370"/>
    <mergeCell ref="C343:C347"/>
    <mergeCell ref="C348:C353"/>
    <mergeCell ref="C354:C355"/>
    <mergeCell ref="C356:C357"/>
    <mergeCell ref="C358:C359"/>
    <mergeCell ref="B318:B341"/>
    <mergeCell ref="C319:C323"/>
    <mergeCell ref="C324:C329"/>
    <mergeCell ref="C330:C331"/>
    <mergeCell ref="C332:C333"/>
    <mergeCell ref="C334:C335"/>
    <mergeCell ref="B294:B317"/>
    <mergeCell ref="C295:C299"/>
    <mergeCell ref="C300:C305"/>
    <mergeCell ref="C306:C307"/>
    <mergeCell ref="C308:C309"/>
    <mergeCell ref="C310:C311"/>
    <mergeCell ref="B270:B293"/>
    <mergeCell ref="C271:C275"/>
    <mergeCell ref="C276:C281"/>
    <mergeCell ref="C282:C283"/>
    <mergeCell ref="C284:C285"/>
    <mergeCell ref="C286:C287"/>
    <mergeCell ref="B246:B269"/>
    <mergeCell ref="C247:C251"/>
    <mergeCell ref="C252:C257"/>
    <mergeCell ref="C258:C259"/>
    <mergeCell ref="C260:C261"/>
    <mergeCell ref="C262:C263"/>
    <mergeCell ref="B222:B245"/>
    <mergeCell ref="C223:C227"/>
    <mergeCell ref="C228:C233"/>
    <mergeCell ref="C234:C235"/>
    <mergeCell ref="C236:C237"/>
    <mergeCell ref="C238:C239"/>
    <mergeCell ref="B198:B221"/>
    <mergeCell ref="C199:C203"/>
    <mergeCell ref="C204:C209"/>
    <mergeCell ref="C210:C211"/>
    <mergeCell ref="C212:C213"/>
    <mergeCell ref="C214:C215"/>
    <mergeCell ref="C166:C167"/>
    <mergeCell ref="B174:B197"/>
    <mergeCell ref="C175:C179"/>
    <mergeCell ref="C180:C185"/>
    <mergeCell ref="C186:C187"/>
    <mergeCell ref="C188:C189"/>
    <mergeCell ref="C190:C191"/>
    <mergeCell ref="C127:C131"/>
    <mergeCell ref="C132:C137"/>
    <mergeCell ref="C138:C139"/>
    <mergeCell ref="C140:C141"/>
    <mergeCell ref="C142:C143"/>
    <mergeCell ref="B150:B173"/>
    <mergeCell ref="C151:C155"/>
    <mergeCell ref="C156:C161"/>
    <mergeCell ref="C162:C163"/>
    <mergeCell ref="C164:C165"/>
    <mergeCell ref="B110:B126"/>
    <mergeCell ref="C110:C114"/>
    <mergeCell ref="C115:C120"/>
    <mergeCell ref="C121:C122"/>
    <mergeCell ref="C123:C124"/>
    <mergeCell ref="C125:C126"/>
    <mergeCell ref="B83:B109"/>
    <mergeCell ref="C83:C87"/>
    <mergeCell ref="C88:C93"/>
    <mergeCell ref="C94:C95"/>
    <mergeCell ref="C96:C99"/>
    <mergeCell ref="C100:C101"/>
    <mergeCell ref="C102:C103"/>
    <mergeCell ref="C104:C107"/>
    <mergeCell ref="C108:C109"/>
    <mergeCell ref="B58:B82"/>
    <mergeCell ref="C58:C59"/>
    <mergeCell ref="C60:C63"/>
    <mergeCell ref="C64:C65"/>
    <mergeCell ref="C66:C69"/>
    <mergeCell ref="C70:C71"/>
    <mergeCell ref="C72:C73"/>
    <mergeCell ref="C74:C78"/>
    <mergeCell ref="C79:C80"/>
    <mergeCell ref="C81:C82"/>
    <mergeCell ref="L3:L6"/>
    <mergeCell ref="A1:K1"/>
    <mergeCell ref="A3:A9"/>
    <mergeCell ref="E3:J3"/>
    <mergeCell ref="E4:J4"/>
    <mergeCell ref="A21:A25"/>
    <mergeCell ref="A10:A20"/>
    <mergeCell ref="A32:A56"/>
    <mergeCell ref="B32:B56"/>
    <mergeCell ref="C32:C36"/>
    <mergeCell ref="C37:C42"/>
    <mergeCell ref="C43:C44"/>
    <mergeCell ref="C45:C48"/>
    <mergeCell ref="C49:C50"/>
    <mergeCell ref="C51:C54"/>
    <mergeCell ref="C55:C56"/>
  </mergeCells>
  <hyperlinks>
    <hyperlink ref="I92" r:id="rId1" display="SAICPL/EC/2018/DPR/Lot-6/Pkg-6/7398"/>
    <hyperlink ref="I160" r:id="rId2"/>
    <hyperlink ref="E160" r:id="rId3" display="SAICPL/EC/2018/DPR/Lot-6/Pkg-6/7398"/>
    <hyperlink ref="I184" r:id="rId4"/>
    <hyperlink ref="E184" r:id="rId5" display="SAICPL/EC/2018/DPR/Lot-6/Pkg-6/7398"/>
    <hyperlink ref="I208" r:id="rId6"/>
    <hyperlink ref="E208" r:id="rId7" display="SAICPL/EC/2018/DPR/Lot-6/Pkg-6/7398"/>
    <hyperlink ref="I232" r:id="rId8"/>
    <hyperlink ref="E232" r:id="rId9" display="SAICPL/EC/2018/DPR/Lot-6/Pkg-6/7398"/>
    <hyperlink ref="I256" r:id="rId10"/>
    <hyperlink ref="E256" r:id="rId11" display="SAICPL/EC/2018/DPR/Lot-6/Pkg-6/7398"/>
    <hyperlink ref="I280" r:id="rId12"/>
    <hyperlink ref="E280" r:id="rId13" display="SAICPL/EC/2018/DPR/Lot-6/Pkg-6/7398"/>
    <hyperlink ref="I304" r:id="rId14"/>
    <hyperlink ref="E304" r:id="rId15" display="SAICPL/EC/2018/DPR/Lot-6/Pkg-6/7398"/>
    <hyperlink ref="I328" r:id="rId16"/>
    <hyperlink ref="E328" r:id="rId17" display="SAICPL/EC/2018/DPR/Lot-6/Pkg-6/7398"/>
    <hyperlink ref="I352" r:id="rId18"/>
    <hyperlink ref="E352" r:id="rId19" display="SAICPL/EC/2018/DPR/Lot-6/Pkg-6/7398"/>
    <hyperlink ref="I381" r:id="rId20"/>
    <hyperlink ref="E381" r:id="rId21" display="SAICPL/EC/2018/DPR/Lot-6/Pkg-6/7398"/>
    <hyperlink ref="I405" r:id="rId22"/>
    <hyperlink ref="E405" r:id="rId23" display="SAICPL/EC/2018/DPR/Lot-6/Pkg-6/7398"/>
    <hyperlink ref="I429" r:id="rId24"/>
    <hyperlink ref="E429" r:id="rId25" display="SAICPL/EC/2018/DPR/Lot-6/Pkg-6/7398"/>
  </hyperlinks>
  <pageMargins left="0.70866141732283472" right="0.70866141732283472" top="0.74803149606299213" bottom="0.74803149606299213" header="0.31496062992125984" footer="0.31496062992125984"/>
  <pageSetup paperSize="8" scale="65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3"/>
  <sheetViews>
    <sheetView zoomScale="70" zoomScaleNormal="70" workbookViewId="0">
      <selection activeCell="I9" sqref="I9:I15"/>
    </sheetView>
  </sheetViews>
  <sheetFormatPr defaultRowHeight="15" x14ac:dyDescent="0.25"/>
  <cols>
    <col min="2" max="2" width="32.28515625" customWidth="1"/>
    <col min="3" max="3" width="23.42578125" customWidth="1"/>
    <col min="4" max="4" width="20.140625" customWidth="1"/>
    <col min="5" max="5" width="21.42578125" customWidth="1"/>
    <col min="7" max="7" width="12.7109375" customWidth="1"/>
    <col min="8" max="8" width="10.5703125" style="237" customWidth="1"/>
    <col min="9" max="9" width="30.7109375" customWidth="1"/>
    <col min="10" max="18" width="16.7109375" customWidth="1"/>
    <col min="19" max="19" width="12.7109375" customWidth="1"/>
    <col min="20" max="20" width="18.7109375" customWidth="1"/>
    <col min="22" max="22" width="14.7109375" customWidth="1"/>
  </cols>
  <sheetData>
    <row r="2" spans="1:22" ht="24" thickBot="1" x14ac:dyDescent="0.4">
      <c r="A2" s="462" t="s">
        <v>154</v>
      </c>
    </row>
    <row r="3" spans="1:22" x14ac:dyDescent="0.25">
      <c r="A3" s="112"/>
      <c r="B3" s="113"/>
      <c r="C3" s="113"/>
      <c r="D3" s="113"/>
      <c r="E3" s="114"/>
      <c r="G3" s="112"/>
      <c r="H3" s="238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4"/>
    </row>
    <row r="4" spans="1:22" ht="23.25" x14ac:dyDescent="0.35">
      <c r="A4" s="126" t="s">
        <v>146</v>
      </c>
      <c r="B4" s="116"/>
      <c r="C4" s="116"/>
      <c r="D4" s="116" t="s">
        <v>155</v>
      </c>
      <c r="E4" s="117"/>
      <c r="G4" s="115"/>
      <c r="H4" s="239" t="s">
        <v>160</v>
      </c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</row>
    <row r="5" spans="1:22" ht="27.6" customHeight="1" x14ac:dyDescent="0.25">
      <c r="A5" s="115"/>
      <c r="B5" s="116"/>
      <c r="C5" s="116"/>
      <c r="D5" s="116"/>
      <c r="E5" s="117"/>
      <c r="G5" s="468"/>
      <c r="H5" s="469" t="s">
        <v>163</v>
      </c>
      <c r="I5" s="470" t="s">
        <v>164</v>
      </c>
      <c r="J5" s="471" t="s">
        <v>162</v>
      </c>
      <c r="K5" s="472" t="s">
        <v>40</v>
      </c>
      <c r="L5" s="470" t="s">
        <v>121</v>
      </c>
      <c r="M5" s="470" t="s">
        <v>122</v>
      </c>
      <c r="N5" s="470" t="s">
        <v>123</v>
      </c>
      <c r="O5" s="470" t="s">
        <v>124</v>
      </c>
      <c r="P5" s="470" t="s">
        <v>125</v>
      </c>
      <c r="Q5" s="470" t="s">
        <v>247</v>
      </c>
      <c r="R5" s="470" t="s">
        <v>279</v>
      </c>
      <c r="S5" s="473" t="s">
        <v>174</v>
      </c>
      <c r="T5" s="473" t="s">
        <v>175</v>
      </c>
      <c r="U5" s="470"/>
      <c r="V5" s="474"/>
    </row>
    <row r="6" spans="1:22" x14ac:dyDescent="0.25">
      <c r="A6" s="115"/>
      <c r="B6" s="116"/>
      <c r="C6" s="116"/>
      <c r="D6" s="116"/>
      <c r="E6" s="117"/>
      <c r="G6" s="115"/>
      <c r="H6" s="240"/>
      <c r="I6" s="116" t="s">
        <v>150</v>
      </c>
      <c r="J6" s="120"/>
      <c r="K6" s="119">
        <f>SUM(L6:P6)</f>
        <v>100</v>
      </c>
      <c r="L6" s="118">
        <v>13.9</v>
      </c>
      <c r="M6" s="118">
        <v>22</v>
      </c>
      <c r="N6" s="118">
        <v>15.4</v>
      </c>
      <c r="O6" s="118">
        <v>20.100000000000001</v>
      </c>
      <c r="P6" s="118">
        <v>28.6</v>
      </c>
      <c r="Q6" s="118">
        <v>12</v>
      </c>
      <c r="R6" s="118"/>
      <c r="S6" s="430"/>
      <c r="T6" s="430"/>
      <c r="U6" s="118"/>
      <c r="V6" s="117"/>
    </row>
    <row r="7" spans="1:22" x14ac:dyDescent="0.25">
      <c r="A7" s="463"/>
      <c r="B7" s="116"/>
      <c r="C7" s="116"/>
      <c r="D7" s="116"/>
      <c r="E7" s="117"/>
      <c r="G7" s="115"/>
      <c r="H7" s="240"/>
      <c r="I7" s="116"/>
      <c r="J7" s="120"/>
      <c r="K7" s="119"/>
      <c r="L7" s="118"/>
      <c r="M7" s="118"/>
      <c r="N7" s="118"/>
      <c r="O7" s="118"/>
      <c r="P7" s="118"/>
      <c r="Q7" s="118" t="s">
        <v>248</v>
      </c>
      <c r="R7" s="118"/>
      <c r="S7" s="430"/>
      <c r="T7" s="430"/>
      <c r="U7" s="118"/>
      <c r="V7" s="117"/>
    </row>
    <row r="8" spans="1:22" x14ac:dyDescent="0.25">
      <c r="A8" s="463">
        <v>1</v>
      </c>
      <c r="B8" s="116" t="s">
        <v>281</v>
      </c>
      <c r="C8" s="456" t="s">
        <v>256</v>
      </c>
      <c r="D8" s="116">
        <v>15204000</v>
      </c>
      <c r="E8" s="475" t="s">
        <v>156</v>
      </c>
      <c r="G8" s="115"/>
      <c r="H8" s="240" t="s">
        <v>143</v>
      </c>
      <c r="I8" s="116" t="s">
        <v>126</v>
      </c>
      <c r="J8" s="120">
        <v>0</v>
      </c>
      <c r="K8" s="116">
        <f t="shared" ref="K8:K15" si="0">$D$18*J8</f>
        <v>0</v>
      </c>
      <c r="L8" s="116"/>
      <c r="M8" s="116"/>
      <c r="N8" s="116"/>
      <c r="O8" s="116"/>
      <c r="P8" s="116"/>
      <c r="Q8" s="116"/>
      <c r="R8" s="116"/>
      <c r="S8" s="431">
        <v>15</v>
      </c>
      <c r="T8" s="432">
        <f>+$D$25+S8</f>
        <v>42106</v>
      </c>
      <c r="U8" s="116"/>
      <c r="V8" s="117"/>
    </row>
    <row r="9" spans="1:22" x14ac:dyDescent="0.25">
      <c r="A9" s="463">
        <v>2</v>
      </c>
      <c r="B9" s="116" t="s">
        <v>29</v>
      </c>
      <c r="C9" s="455"/>
      <c r="D9" s="116">
        <v>21369600</v>
      </c>
      <c r="E9" s="475" t="s">
        <v>109</v>
      </c>
      <c r="G9" s="115"/>
      <c r="H9" s="240" t="s">
        <v>127</v>
      </c>
      <c r="I9" s="116" t="s">
        <v>128</v>
      </c>
      <c r="J9" s="120">
        <v>0.15</v>
      </c>
      <c r="K9" s="116">
        <f t="shared" si="0"/>
        <v>8592270</v>
      </c>
      <c r="L9" s="121">
        <f t="shared" ref="L9:P15" si="1">$K9/$K$6*L$6</f>
        <v>1194325.53</v>
      </c>
      <c r="M9" s="121">
        <f t="shared" si="1"/>
        <v>1890299.4</v>
      </c>
      <c r="N9" s="121">
        <f t="shared" si="1"/>
        <v>1323209.58</v>
      </c>
      <c r="O9" s="121">
        <f t="shared" si="1"/>
        <v>1727046.27</v>
      </c>
      <c r="P9" s="121">
        <f t="shared" si="1"/>
        <v>2457389.2200000002</v>
      </c>
      <c r="Q9" s="121">
        <f>+K$16/60*3*J9</f>
        <v>429613.5</v>
      </c>
      <c r="R9" s="121"/>
      <c r="S9" s="433">
        <v>30</v>
      </c>
      <c r="T9" s="432">
        <f t="shared" ref="T9:T15" si="2">+$D$25+S9</f>
        <v>42121</v>
      </c>
      <c r="U9" s="121"/>
      <c r="V9" s="117"/>
    </row>
    <row r="10" spans="1:22" x14ac:dyDescent="0.25">
      <c r="A10" s="463">
        <v>3</v>
      </c>
      <c r="B10" s="116" t="s">
        <v>32</v>
      </c>
      <c r="C10" s="455"/>
      <c r="D10" s="116">
        <v>100000</v>
      </c>
      <c r="E10" s="475" t="s">
        <v>110</v>
      </c>
      <c r="G10" s="115"/>
      <c r="H10" s="240" t="s">
        <v>129</v>
      </c>
      <c r="I10" s="116" t="s">
        <v>130</v>
      </c>
      <c r="J10" s="120">
        <v>0.1</v>
      </c>
      <c r="K10" s="116">
        <f t="shared" si="0"/>
        <v>5728180</v>
      </c>
      <c r="L10" s="121">
        <f t="shared" si="1"/>
        <v>796217.02</v>
      </c>
      <c r="M10" s="121">
        <f t="shared" si="1"/>
        <v>1260199.6000000001</v>
      </c>
      <c r="N10" s="121">
        <f t="shared" si="1"/>
        <v>882139.72000000009</v>
      </c>
      <c r="O10" s="121">
        <f t="shared" si="1"/>
        <v>1151364.1800000002</v>
      </c>
      <c r="P10" s="121">
        <f t="shared" si="1"/>
        <v>1638259.4800000002</v>
      </c>
      <c r="Q10" s="121">
        <f t="shared" ref="Q10:Q15" si="3">+K$16/60*3*J10</f>
        <v>286409</v>
      </c>
      <c r="R10" s="121"/>
      <c r="S10" s="433">
        <v>120</v>
      </c>
      <c r="T10" s="432">
        <f t="shared" si="2"/>
        <v>42211</v>
      </c>
      <c r="U10" s="121"/>
      <c r="V10" s="117"/>
    </row>
    <row r="11" spans="1:22" x14ac:dyDescent="0.25">
      <c r="A11" s="463">
        <v>4</v>
      </c>
      <c r="B11" s="116" t="s">
        <v>33</v>
      </c>
      <c r="C11" s="456"/>
      <c r="D11" s="116">
        <v>500000</v>
      </c>
      <c r="E11" s="475" t="s">
        <v>157</v>
      </c>
      <c r="G11" s="115"/>
      <c r="H11" s="240" t="s">
        <v>131</v>
      </c>
      <c r="I11" s="116" t="s">
        <v>132</v>
      </c>
      <c r="J11" s="120">
        <v>0.1</v>
      </c>
      <c r="K11" s="116">
        <f t="shared" si="0"/>
        <v>5728180</v>
      </c>
      <c r="L11" s="121">
        <f t="shared" si="1"/>
        <v>796217.02</v>
      </c>
      <c r="M11" s="121">
        <f t="shared" si="1"/>
        <v>1260199.6000000001</v>
      </c>
      <c r="N11" s="121">
        <f t="shared" si="1"/>
        <v>882139.72000000009</v>
      </c>
      <c r="O11" s="121">
        <f t="shared" si="1"/>
        <v>1151364.1800000002</v>
      </c>
      <c r="P11" s="121">
        <f t="shared" si="1"/>
        <v>1638259.4800000002</v>
      </c>
      <c r="Q11" s="121">
        <f t="shared" si="3"/>
        <v>286409</v>
      </c>
      <c r="R11" s="121"/>
      <c r="S11" s="433">
        <v>30</v>
      </c>
      <c r="T11" s="432">
        <f t="shared" si="2"/>
        <v>42121</v>
      </c>
      <c r="U11" s="121"/>
      <c r="V11" s="117"/>
    </row>
    <row r="12" spans="1:22" x14ac:dyDescent="0.25">
      <c r="A12" s="463">
        <v>5</v>
      </c>
      <c r="B12" s="116" t="s">
        <v>34</v>
      </c>
      <c r="C12" s="455"/>
      <c r="D12" s="116">
        <v>200000</v>
      </c>
      <c r="E12" s="475" t="s">
        <v>158</v>
      </c>
      <c r="G12" s="115"/>
      <c r="H12" s="240" t="s">
        <v>133</v>
      </c>
      <c r="I12" s="116" t="s">
        <v>134</v>
      </c>
      <c r="J12" s="120">
        <v>0.1</v>
      </c>
      <c r="K12" s="116">
        <f t="shared" si="0"/>
        <v>5728180</v>
      </c>
      <c r="L12" s="121">
        <f t="shared" si="1"/>
        <v>796217.02</v>
      </c>
      <c r="M12" s="121">
        <f t="shared" si="1"/>
        <v>1260199.6000000001</v>
      </c>
      <c r="N12" s="121">
        <f t="shared" si="1"/>
        <v>882139.72000000009</v>
      </c>
      <c r="O12" s="121">
        <f t="shared" si="1"/>
        <v>1151364.1800000002</v>
      </c>
      <c r="P12" s="121">
        <f t="shared" si="1"/>
        <v>1638259.4800000002</v>
      </c>
      <c r="Q12" s="121">
        <f t="shared" si="3"/>
        <v>286409</v>
      </c>
      <c r="R12" s="121"/>
      <c r="S12" s="433">
        <v>150</v>
      </c>
      <c r="T12" s="432">
        <f t="shared" si="2"/>
        <v>42241</v>
      </c>
      <c r="U12" s="121"/>
      <c r="V12" s="117"/>
    </row>
    <row r="13" spans="1:22" x14ac:dyDescent="0.25">
      <c r="A13" s="463">
        <v>6</v>
      </c>
      <c r="B13" s="116" t="s">
        <v>35</v>
      </c>
      <c r="C13" s="455"/>
      <c r="D13" s="116">
        <v>1000000</v>
      </c>
      <c r="E13" s="475" t="s">
        <v>159</v>
      </c>
      <c r="G13" s="115"/>
      <c r="H13" s="240" t="s">
        <v>135</v>
      </c>
      <c r="I13" s="116" t="s">
        <v>136</v>
      </c>
      <c r="J13" s="120">
        <v>0.25</v>
      </c>
      <c r="K13" s="116">
        <f t="shared" si="0"/>
        <v>14320450</v>
      </c>
      <c r="L13" s="121">
        <f t="shared" si="1"/>
        <v>1990542.55</v>
      </c>
      <c r="M13" s="121">
        <f t="shared" si="1"/>
        <v>3150499</v>
      </c>
      <c r="N13" s="121">
        <f t="shared" si="1"/>
        <v>2205349.3000000003</v>
      </c>
      <c r="O13" s="121">
        <f t="shared" si="1"/>
        <v>2878410.45</v>
      </c>
      <c r="P13" s="121">
        <f t="shared" si="1"/>
        <v>4095648.7</v>
      </c>
      <c r="Q13" s="121">
        <f t="shared" si="3"/>
        <v>716022.5</v>
      </c>
      <c r="R13" s="121"/>
      <c r="S13" s="433">
        <v>180</v>
      </c>
      <c r="T13" s="432">
        <f t="shared" si="2"/>
        <v>42271</v>
      </c>
      <c r="U13" s="121"/>
      <c r="V13" s="117"/>
    </row>
    <row r="14" spans="1:22" x14ac:dyDescent="0.25">
      <c r="A14" s="463">
        <v>7</v>
      </c>
      <c r="B14" s="116" t="s">
        <v>36</v>
      </c>
      <c r="C14" s="455"/>
      <c r="D14" s="116">
        <v>19000000</v>
      </c>
      <c r="E14" s="475" t="s">
        <v>111</v>
      </c>
      <c r="G14" s="115"/>
      <c r="H14" s="240" t="s">
        <v>137</v>
      </c>
      <c r="I14" s="116" t="s">
        <v>138</v>
      </c>
      <c r="J14" s="120">
        <v>0.2</v>
      </c>
      <c r="K14" s="116">
        <f t="shared" si="0"/>
        <v>11456360</v>
      </c>
      <c r="L14" s="121">
        <f t="shared" si="1"/>
        <v>1592434.04</v>
      </c>
      <c r="M14" s="121">
        <f t="shared" si="1"/>
        <v>2520399.2000000002</v>
      </c>
      <c r="N14" s="121">
        <f t="shared" si="1"/>
        <v>1764279.4400000002</v>
      </c>
      <c r="O14" s="121">
        <f t="shared" si="1"/>
        <v>2302728.3600000003</v>
      </c>
      <c r="P14" s="121">
        <f t="shared" si="1"/>
        <v>3276518.9600000004</v>
      </c>
      <c r="Q14" s="121">
        <f t="shared" si="3"/>
        <v>572818</v>
      </c>
      <c r="R14" s="121"/>
      <c r="S14" s="433">
        <v>240</v>
      </c>
      <c r="T14" s="432">
        <f t="shared" si="2"/>
        <v>42331</v>
      </c>
      <c r="U14" s="121"/>
      <c r="V14" s="117"/>
    </row>
    <row r="15" spans="1:22" x14ac:dyDescent="0.25">
      <c r="A15" s="463">
        <v>8</v>
      </c>
      <c r="B15" s="116" t="s">
        <v>39</v>
      </c>
      <c r="C15" s="455"/>
      <c r="D15" s="116">
        <v>20000</v>
      </c>
      <c r="E15" s="475" t="s">
        <v>113</v>
      </c>
      <c r="G15" s="115"/>
      <c r="H15" s="240" t="s">
        <v>139</v>
      </c>
      <c r="I15" s="116" t="s">
        <v>140</v>
      </c>
      <c r="J15" s="120">
        <v>0.1</v>
      </c>
      <c r="K15" s="116">
        <f t="shared" si="0"/>
        <v>5728180</v>
      </c>
      <c r="L15" s="121">
        <f t="shared" si="1"/>
        <v>796217.02</v>
      </c>
      <c r="M15" s="121">
        <f t="shared" si="1"/>
        <v>1260199.6000000001</v>
      </c>
      <c r="N15" s="121">
        <f t="shared" si="1"/>
        <v>882139.72000000009</v>
      </c>
      <c r="O15" s="121">
        <f t="shared" si="1"/>
        <v>1151364.1800000002</v>
      </c>
      <c r="P15" s="121">
        <f t="shared" si="1"/>
        <v>1638259.4800000002</v>
      </c>
      <c r="Q15" s="121">
        <f t="shared" si="3"/>
        <v>286409</v>
      </c>
      <c r="R15" s="121"/>
      <c r="S15" s="433">
        <v>300</v>
      </c>
      <c r="T15" s="432">
        <f t="shared" si="2"/>
        <v>42391</v>
      </c>
      <c r="U15" s="121"/>
      <c r="V15" s="117"/>
    </row>
    <row r="16" spans="1:22" x14ac:dyDescent="0.25">
      <c r="A16" s="463">
        <v>10</v>
      </c>
      <c r="B16" s="116" t="s">
        <v>112</v>
      </c>
      <c r="C16" s="455"/>
      <c r="D16" s="116">
        <v>160000</v>
      </c>
      <c r="E16" s="475" t="s">
        <v>113</v>
      </c>
      <c r="G16" s="115"/>
      <c r="H16" s="240"/>
      <c r="I16" s="116"/>
      <c r="J16" s="120"/>
      <c r="K16" s="127">
        <f>SUM(K8:K15)</f>
        <v>57281800</v>
      </c>
      <c r="L16" s="127">
        <f t="shared" ref="L16:P16" si="4">SUM(L8:L15)</f>
        <v>7962170.2000000011</v>
      </c>
      <c r="M16" s="127">
        <f t="shared" si="4"/>
        <v>12601995.999999998</v>
      </c>
      <c r="N16" s="127">
        <f t="shared" si="4"/>
        <v>8821397.2000000011</v>
      </c>
      <c r="O16" s="127">
        <f t="shared" si="4"/>
        <v>11513641.800000001</v>
      </c>
      <c r="P16" s="127">
        <f t="shared" si="4"/>
        <v>16382594.800000003</v>
      </c>
      <c r="Q16" s="127">
        <f>SUM(Q9:Q15)</f>
        <v>2864090</v>
      </c>
      <c r="R16" s="127"/>
      <c r="S16" s="434"/>
      <c r="T16" s="434"/>
      <c r="U16" s="127"/>
      <c r="V16" s="117"/>
    </row>
    <row r="17" spans="1:22" x14ac:dyDescent="0.25">
      <c r="A17" s="463">
        <v>11</v>
      </c>
      <c r="B17" s="116" t="s">
        <v>145</v>
      </c>
      <c r="C17" s="455"/>
      <c r="D17" s="116">
        <v>-271800</v>
      </c>
      <c r="E17" s="475" t="s">
        <v>113</v>
      </c>
      <c r="G17" s="115"/>
      <c r="H17" s="240" t="s">
        <v>141</v>
      </c>
      <c r="I17" s="116" t="s">
        <v>142</v>
      </c>
      <c r="J17" s="120"/>
      <c r="K17" s="116">
        <f>SUM(L17:P17)</f>
        <v>160000</v>
      </c>
      <c r="L17" s="116">
        <v>0</v>
      </c>
      <c r="M17" s="116">
        <v>160000</v>
      </c>
      <c r="N17" s="116">
        <v>0</v>
      </c>
      <c r="O17" s="116">
        <v>0</v>
      </c>
      <c r="P17" s="116">
        <v>0</v>
      </c>
      <c r="Q17" s="431" t="s">
        <v>250</v>
      </c>
      <c r="R17" s="431"/>
      <c r="S17" s="116"/>
      <c r="T17" s="116"/>
      <c r="U17" s="116"/>
      <c r="V17" s="117"/>
    </row>
    <row r="18" spans="1:22" x14ac:dyDescent="0.25">
      <c r="A18" s="464">
        <v>9</v>
      </c>
      <c r="B18" s="122" t="s">
        <v>119</v>
      </c>
      <c r="C18" s="122"/>
      <c r="D18" s="122">
        <f>SUM(D8:D17)</f>
        <v>57281800</v>
      </c>
      <c r="E18" s="475"/>
      <c r="G18" s="115"/>
      <c r="H18" s="240" t="s">
        <v>161</v>
      </c>
      <c r="I18" s="116" t="s">
        <v>112</v>
      </c>
      <c r="J18" s="120"/>
      <c r="K18" s="116">
        <f>SUM(L18:P18)</f>
        <v>-271800</v>
      </c>
      <c r="L18" s="116">
        <v>0</v>
      </c>
      <c r="M18" s="116">
        <v>0</v>
      </c>
      <c r="N18" s="116">
        <v>-271800</v>
      </c>
      <c r="O18" s="116">
        <v>0</v>
      </c>
      <c r="P18" s="116">
        <v>0</v>
      </c>
      <c r="Q18" s="116"/>
      <c r="R18" s="116"/>
      <c r="S18" s="116"/>
      <c r="T18" s="116"/>
      <c r="U18" s="116"/>
      <c r="V18" s="117"/>
    </row>
    <row r="19" spans="1:22" x14ac:dyDescent="0.25">
      <c r="A19" s="465">
        <v>12</v>
      </c>
      <c r="B19" s="431" t="s">
        <v>142</v>
      </c>
      <c r="C19" s="431"/>
      <c r="D19" s="431">
        <v>160000</v>
      </c>
      <c r="E19" s="475" t="s">
        <v>113</v>
      </c>
      <c r="G19" s="115"/>
      <c r="H19" s="240" t="s">
        <v>252</v>
      </c>
      <c r="I19" s="145" t="s">
        <v>280</v>
      </c>
      <c r="J19" s="116"/>
      <c r="L19" s="116"/>
      <c r="M19" s="116"/>
      <c r="N19" s="116"/>
      <c r="O19" s="116"/>
      <c r="P19" s="116"/>
      <c r="Q19" s="116"/>
      <c r="R19" s="116" t="s">
        <v>137</v>
      </c>
      <c r="S19" s="116">
        <v>30</v>
      </c>
      <c r="T19" s="502">
        <f>+T14+S19</f>
        <v>42361</v>
      </c>
      <c r="U19" s="116"/>
      <c r="V19" s="117"/>
    </row>
    <row r="20" spans="1:22" x14ac:dyDescent="0.25">
      <c r="A20" s="465">
        <v>13</v>
      </c>
      <c r="B20" s="431" t="s">
        <v>168</v>
      </c>
      <c r="C20" s="431"/>
      <c r="D20" s="431"/>
      <c r="E20" s="475" t="s">
        <v>113</v>
      </c>
      <c r="G20" s="115"/>
      <c r="H20" s="240"/>
      <c r="I20" s="116"/>
      <c r="J20" s="116"/>
      <c r="K20" s="122">
        <f>SUM(K16:K18)</f>
        <v>57170000</v>
      </c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7"/>
    </row>
    <row r="21" spans="1:22" x14ac:dyDescent="0.25">
      <c r="A21" s="463">
        <v>12</v>
      </c>
      <c r="B21" s="122" t="s">
        <v>40</v>
      </c>
      <c r="C21" s="122"/>
      <c r="D21" s="122">
        <v>57281800</v>
      </c>
      <c r="E21" s="503">
        <v>1</v>
      </c>
      <c r="G21" s="115"/>
      <c r="H21" s="240"/>
      <c r="I21" s="116"/>
      <c r="J21" s="116"/>
      <c r="K21" s="122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7"/>
    </row>
    <row r="22" spans="1:22" ht="24" thickBot="1" x14ac:dyDescent="0.4">
      <c r="A22" s="466"/>
      <c r="B22" s="124"/>
      <c r="C22" s="124"/>
      <c r="D22" s="124"/>
      <c r="E22" s="476"/>
      <c r="G22" s="115"/>
      <c r="H22" s="239" t="s">
        <v>169</v>
      </c>
      <c r="I22" s="116" t="s">
        <v>64</v>
      </c>
      <c r="J22" s="116"/>
      <c r="K22" s="116">
        <f>SUM(L22:P22)</f>
        <v>323</v>
      </c>
      <c r="L22" s="116">
        <v>23</v>
      </c>
      <c r="M22" s="116">
        <v>40</v>
      </c>
      <c r="N22" s="116">
        <v>120</v>
      </c>
      <c r="O22" s="116">
        <v>50</v>
      </c>
      <c r="P22" s="116">
        <v>90</v>
      </c>
      <c r="Q22" s="116"/>
      <c r="R22" s="116"/>
      <c r="S22" s="116"/>
      <c r="T22" s="116"/>
      <c r="U22" s="116"/>
      <c r="V22" s="117"/>
    </row>
    <row r="23" spans="1:22" ht="15.75" thickBot="1" x14ac:dyDescent="0.3">
      <c r="A23" s="467"/>
      <c r="E23" s="419"/>
      <c r="G23" s="115"/>
      <c r="H23" s="240"/>
      <c r="I23" s="116" t="s">
        <v>77</v>
      </c>
      <c r="J23" s="116"/>
      <c r="K23" s="116">
        <f t="shared" ref="K23:K25" si="5">SUM(L23:P23)</f>
        <v>10</v>
      </c>
      <c r="L23" s="116">
        <v>2</v>
      </c>
      <c r="M23" s="116">
        <v>2</v>
      </c>
      <c r="N23" s="116">
        <v>2</v>
      </c>
      <c r="O23" s="116">
        <v>2</v>
      </c>
      <c r="P23" s="116">
        <v>2</v>
      </c>
      <c r="Q23" s="116" t="s">
        <v>249</v>
      </c>
      <c r="R23" s="116"/>
      <c r="S23" s="116"/>
      <c r="T23" s="116"/>
      <c r="U23" s="116"/>
      <c r="V23" s="117"/>
    </row>
    <row r="24" spans="1:22" x14ac:dyDescent="0.25">
      <c r="A24" s="477"/>
      <c r="B24" s="113" t="s">
        <v>166</v>
      </c>
      <c r="C24" s="113"/>
      <c r="D24" s="478">
        <v>5</v>
      </c>
      <c r="E24" s="479"/>
      <c r="G24" s="115"/>
      <c r="H24" s="240"/>
      <c r="I24" s="116" t="s">
        <v>65</v>
      </c>
      <c r="J24" s="116"/>
      <c r="K24" s="116">
        <f t="shared" si="5"/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/>
      <c r="R24" s="116"/>
      <c r="S24" s="116"/>
      <c r="T24" s="116"/>
      <c r="U24" s="116"/>
      <c r="V24" s="117"/>
    </row>
    <row r="25" spans="1:22" ht="15.75" thickBot="1" x14ac:dyDescent="0.3">
      <c r="A25" s="466"/>
      <c r="B25" s="124" t="s">
        <v>167</v>
      </c>
      <c r="C25" s="124"/>
      <c r="D25" s="480">
        <v>42091</v>
      </c>
      <c r="E25" s="476"/>
      <c r="G25" s="123"/>
      <c r="H25" s="241"/>
      <c r="I25" s="124" t="s">
        <v>66</v>
      </c>
      <c r="J25" s="124"/>
      <c r="K25" s="124">
        <f t="shared" si="5"/>
        <v>0</v>
      </c>
      <c r="L25" s="124"/>
      <c r="M25" s="124"/>
      <c r="N25" s="124"/>
      <c r="O25" s="124"/>
      <c r="P25" s="124">
        <v>0</v>
      </c>
      <c r="Q25" s="124"/>
      <c r="R25" s="124"/>
      <c r="S25" s="124"/>
      <c r="T25" s="124"/>
      <c r="U25" s="124"/>
      <c r="V25" s="125"/>
    </row>
    <row r="26" spans="1:22" x14ac:dyDescent="0.25">
      <c r="A26" s="467"/>
      <c r="E26" s="419"/>
      <c r="G26" s="116"/>
      <c r="H26" s="240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ht="24" thickBot="1" x14ac:dyDescent="0.4">
      <c r="A27" s="467"/>
      <c r="G27" s="364" t="s">
        <v>232</v>
      </c>
    </row>
    <row r="28" spans="1:22" ht="21.75" thickBot="1" x14ac:dyDescent="0.3">
      <c r="G28" s="349" t="s">
        <v>189</v>
      </c>
      <c r="H28" s="350"/>
      <c r="I28" s="350"/>
      <c r="J28" s="350"/>
      <c r="K28" s="350"/>
      <c r="L28" s="350" t="s">
        <v>121</v>
      </c>
      <c r="M28" s="350" t="s">
        <v>122</v>
      </c>
      <c r="N28" s="350" t="s">
        <v>123</v>
      </c>
      <c r="O28" s="350" t="s">
        <v>124</v>
      </c>
      <c r="P28" s="350" t="s">
        <v>125</v>
      </c>
      <c r="Q28" s="352" t="s">
        <v>182</v>
      </c>
      <c r="R28" s="481"/>
    </row>
    <row r="29" spans="1:22" ht="32.25" thickBot="1" x14ac:dyDescent="0.3">
      <c r="G29" s="250"/>
      <c r="H29" s="346" t="s">
        <v>6</v>
      </c>
      <c r="I29" s="347"/>
      <c r="J29" s="347"/>
      <c r="K29" s="348"/>
      <c r="L29" s="348">
        <f>+L16</f>
        <v>7962170.2000000011</v>
      </c>
      <c r="M29" s="348">
        <f>+M16</f>
        <v>12601995.999999998</v>
      </c>
      <c r="N29" s="348">
        <f>+N16</f>
        <v>8821397.2000000011</v>
      </c>
      <c r="O29" s="348">
        <f>+O16</f>
        <v>11513641.800000001</v>
      </c>
      <c r="P29" s="348">
        <f>+P16</f>
        <v>16382594.800000003</v>
      </c>
      <c r="Q29" s="353">
        <f>+K16</f>
        <v>57281800</v>
      </c>
      <c r="R29" s="482"/>
    </row>
    <row r="30" spans="1:22" ht="15.75" x14ac:dyDescent="0.25">
      <c r="B30" t="s">
        <v>254</v>
      </c>
      <c r="G30" s="234"/>
      <c r="H30" s="242" t="s">
        <v>45</v>
      </c>
      <c r="I30" s="190" t="s">
        <v>91</v>
      </c>
      <c r="J30" s="190"/>
      <c r="K30" s="245"/>
      <c r="L30" s="191">
        <v>2</v>
      </c>
      <c r="M30" s="191">
        <v>2</v>
      </c>
      <c r="N30" s="191">
        <v>2</v>
      </c>
      <c r="O30" s="191">
        <v>2</v>
      </c>
      <c r="P30" s="191">
        <v>2</v>
      </c>
      <c r="Q30" s="354"/>
      <c r="R30" s="483"/>
      <c r="S30" s="351" t="s">
        <v>170</v>
      </c>
    </row>
    <row r="31" spans="1:22" ht="15.6" customHeight="1" x14ac:dyDescent="0.25">
      <c r="B31" t="s">
        <v>255</v>
      </c>
      <c r="G31" s="234"/>
      <c r="H31" s="243"/>
      <c r="I31" s="65" t="s">
        <v>88</v>
      </c>
      <c r="J31" s="65"/>
      <c r="K31" s="65"/>
      <c r="L31" s="15">
        <v>0.15</v>
      </c>
      <c r="M31" s="27">
        <v>0.15</v>
      </c>
      <c r="N31" s="27">
        <v>0.15</v>
      </c>
      <c r="O31" s="27">
        <v>0.15</v>
      </c>
      <c r="P31" s="27">
        <v>0.15</v>
      </c>
      <c r="Q31" s="355"/>
      <c r="R31" s="484"/>
      <c r="S31" s="253" t="s">
        <v>172</v>
      </c>
      <c r="V31" t="s">
        <v>190</v>
      </c>
    </row>
    <row r="32" spans="1:22" ht="15.75" x14ac:dyDescent="0.25">
      <c r="G32" s="234"/>
      <c r="H32" s="243"/>
      <c r="I32" s="51" t="s">
        <v>46</v>
      </c>
      <c r="J32" s="51"/>
      <c r="K32" s="252"/>
      <c r="L32" s="13">
        <f>L29*L31</f>
        <v>1194325.53</v>
      </c>
      <c r="M32" s="13">
        <f t="shared" ref="M32:P32" si="6">M29*M31</f>
        <v>1890299.3999999997</v>
      </c>
      <c r="N32" s="13">
        <f t="shared" si="6"/>
        <v>1323209.58</v>
      </c>
      <c r="O32" s="13">
        <f t="shared" si="6"/>
        <v>1727046.27</v>
      </c>
      <c r="P32" s="13">
        <f t="shared" si="6"/>
        <v>2457389.2200000002</v>
      </c>
      <c r="Q32" s="356"/>
      <c r="R32" s="485"/>
      <c r="S32" s="253" t="s">
        <v>173</v>
      </c>
      <c r="V32" t="s">
        <v>190</v>
      </c>
    </row>
    <row r="33" spans="7:19" ht="15.75" x14ac:dyDescent="0.25">
      <c r="G33" s="234"/>
      <c r="H33" s="243"/>
      <c r="I33" s="66" t="s">
        <v>84</v>
      </c>
      <c r="J33" s="66"/>
      <c r="K33" s="66"/>
      <c r="L33" s="53">
        <v>30</v>
      </c>
      <c r="M33" s="53">
        <v>31</v>
      </c>
      <c r="N33" s="53">
        <v>32</v>
      </c>
      <c r="O33" s="53">
        <v>33</v>
      </c>
      <c r="P33" s="53">
        <v>34</v>
      </c>
      <c r="Q33" s="357"/>
      <c r="R33" s="486"/>
      <c r="S33" t="s">
        <v>176</v>
      </c>
    </row>
    <row r="34" spans="7:19" ht="15.75" x14ac:dyDescent="0.25">
      <c r="G34" s="234"/>
      <c r="H34" s="243"/>
      <c r="I34" s="66" t="s">
        <v>85</v>
      </c>
      <c r="J34" s="66"/>
      <c r="K34" s="66"/>
      <c r="L34" s="59"/>
      <c r="M34" s="59"/>
      <c r="N34" s="59"/>
      <c r="O34" s="59"/>
      <c r="P34" s="59"/>
      <c r="Q34" s="357"/>
      <c r="R34" s="486"/>
      <c r="S34" t="s">
        <v>177</v>
      </c>
    </row>
    <row r="35" spans="7:19" ht="15.75" x14ac:dyDescent="0.25">
      <c r="G35" s="234"/>
      <c r="H35" s="243"/>
      <c r="I35" s="248" t="s">
        <v>178</v>
      </c>
      <c r="J35" s="248"/>
      <c r="K35" s="248"/>
      <c r="L35" s="59" t="s">
        <v>179</v>
      </c>
      <c r="M35" s="59"/>
      <c r="N35" s="59"/>
      <c r="O35" s="59"/>
      <c r="P35" s="59"/>
      <c r="Q35" s="358"/>
      <c r="R35" s="486"/>
      <c r="S35" t="s">
        <v>180</v>
      </c>
    </row>
    <row r="36" spans="7:19" ht="15.75" x14ac:dyDescent="0.25">
      <c r="G36" s="234"/>
      <c r="H36" s="244" t="s">
        <v>47</v>
      </c>
      <c r="I36" s="75" t="s">
        <v>93</v>
      </c>
      <c r="J36" s="75"/>
      <c r="K36" s="75"/>
      <c r="L36" s="100"/>
      <c r="M36" s="100"/>
      <c r="N36" s="100"/>
      <c r="O36" s="100"/>
      <c r="P36" s="100"/>
      <c r="Q36" s="359"/>
      <c r="R36" s="487"/>
      <c r="S36" t="s">
        <v>181</v>
      </c>
    </row>
    <row r="37" spans="7:19" ht="15.75" x14ac:dyDescent="0.25">
      <c r="G37" s="234"/>
      <c r="H37" s="243"/>
      <c r="I37" s="75" t="s">
        <v>92</v>
      </c>
      <c r="J37" s="75"/>
      <c r="K37" s="75"/>
      <c r="L37" s="27">
        <v>0.15</v>
      </c>
      <c r="M37" s="27">
        <v>0.15</v>
      </c>
      <c r="N37" s="27">
        <v>0.15</v>
      </c>
      <c r="O37" s="27">
        <v>0.15</v>
      </c>
      <c r="P37" s="27">
        <v>0.15</v>
      </c>
      <c r="Q37" s="359"/>
      <c r="R37" s="487"/>
      <c r="S37" t="s">
        <v>172</v>
      </c>
    </row>
    <row r="38" spans="7:19" ht="15.75" x14ac:dyDescent="0.25">
      <c r="G38" s="234"/>
      <c r="H38" s="243"/>
      <c r="I38" s="20" t="s">
        <v>55</v>
      </c>
      <c r="J38" s="20"/>
      <c r="K38" s="249"/>
      <c r="L38" s="21">
        <f>+L29*L37</f>
        <v>1194325.53</v>
      </c>
      <c r="M38" s="21">
        <f t="shared" ref="M38:P38" si="7">+M29*M37</f>
        <v>1890299.3999999997</v>
      </c>
      <c r="N38" s="21">
        <f t="shared" si="7"/>
        <v>1323209.58</v>
      </c>
      <c r="O38" s="21">
        <f t="shared" si="7"/>
        <v>1727046.27</v>
      </c>
      <c r="P38" s="21">
        <f t="shared" si="7"/>
        <v>2457389.2200000002</v>
      </c>
      <c r="Q38" s="360"/>
      <c r="R38" s="488"/>
      <c r="S38" t="s">
        <v>173</v>
      </c>
    </row>
    <row r="39" spans="7:19" ht="16.5" thickBot="1" x14ac:dyDescent="0.3">
      <c r="G39" s="235"/>
      <c r="H39" s="361"/>
      <c r="I39" s="183"/>
      <c r="J39" s="183"/>
      <c r="K39" s="362"/>
      <c r="L39" s="184"/>
      <c r="M39" s="184"/>
      <c r="N39" s="184"/>
      <c r="O39" s="184"/>
      <c r="P39" s="184"/>
      <c r="Q39" s="363"/>
      <c r="R39" s="26"/>
      <c r="S39" s="251"/>
    </row>
    <row r="40" spans="7:19" x14ac:dyDescent="0.25">
      <c r="H40"/>
    </row>
    <row r="41" spans="7:19" ht="24" thickBot="1" x14ac:dyDescent="0.4">
      <c r="G41" s="400" t="s">
        <v>233</v>
      </c>
      <c r="H41"/>
    </row>
    <row r="42" spans="7:19" ht="47.25" x14ac:dyDescent="0.25">
      <c r="G42" s="401" t="s">
        <v>208</v>
      </c>
      <c r="H42" s="422" t="s">
        <v>234</v>
      </c>
      <c r="I42" s="408" t="s">
        <v>54</v>
      </c>
      <c r="J42" s="365"/>
      <c r="K42" s="366"/>
      <c r="L42" s="367"/>
      <c r="M42" s="367"/>
      <c r="N42" s="367"/>
      <c r="O42" s="367"/>
      <c r="P42" s="367"/>
      <c r="Q42" s="402" t="s">
        <v>189</v>
      </c>
      <c r="R42" s="489"/>
      <c r="S42" s="418" t="s">
        <v>187</v>
      </c>
    </row>
    <row r="43" spans="7:19" ht="15.75" x14ac:dyDescent="0.25">
      <c r="G43" s="403"/>
      <c r="H43" s="106"/>
      <c r="I43" s="254" t="s">
        <v>240</v>
      </c>
      <c r="J43" s="20"/>
      <c r="K43" s="102"/>
      <c r="L43" s="21"/>
      <c r="M43" s="21"/>
      <c r="N43" s="21"/>
      <c r="O43" s="21"/>
      <c r="P43" s="21"/>
      <c r="Q43" s="404">
        <v>42709</v>
      </c>
      <c r="R43" s="26"/>
      <c r="S43" s="419" t="s">
        <v>188</v>
      </c>
    </row>
    <row r="44" spans="7:19" ht="15.75" x14ac:dyDescent="0.25">
      <c r="G44" s="403"/>
      <c r="H44" s="106"/>
      <c r="I44" s="254" t="s">
        <v>55</v>
      </c>
      <c r="J44" s="20"/>
      <c r="K44" s="102"/>
      <c r="L44" s="21"/>
      <c r="M44" s="21"/>
      <c r="N44" s="21"/>
      <c r="O44" s="21"/>
      <c r="P44" s="21"/>
      <c r="Q44" s="368">
        <f>SUM(L38:P38)</f>
        <v>8592270</v>
      </c>
      <c r="R44" s="490"/>
      <c r="S44" s="420" t="s">
        <v>186</v>
      </c>
    </row>
    <row r="45" spans="7:19" ht="15.75" x14ac:dyDescent="0.25">
      <c r="G45" s="403"/>
      <c r="H45" s="106"/>
      <c r="I45" s="254" t="s">
        <v>238</v>
      </c>
      <c r="J45" s="20"/>
      <c r="K45" s="102"/>
      <c r="L45" s="21"/>
      <c r="M45" s="21"/>
      <c r="N45" s="21"/>
      <c r="O45" s="21"/>
      <c r="P45" s="21"/>
      <c r="Q45" s="380">
        <v>0.15</v>
      </c>
      <c r="R45" s="491"/>
      <c r="S45" s="419"/>
    </row>
    <row r="46" spans="7:19" ht="15.75" x14ac:dyDescent="0.25">
      <c r="G46" s="403"/>
      <c r="H46" s="106"/>
      <c r="I46" s="254" t="s">
        <v>192</v>
      </c>
      <c r="J46" s="20"/>
      <c r="K46" s="102"/>
      <c r="L46" s="21"/>
      <c r="M46" s="21"/>
      <c r="N46" s="21"/>
      <c r="O46" s="21"/>
      <c r="P46" s="21"/>
      <c r="Q46" s="368">
        <f>+Q44*Q45</f>
        <v>1288840.5</v>
      </c>
      <c r="R46" s="490"/>
      <c r="S46" s="419" t="s">
        <v>186</v>
      </c>
    </row>
    <row r="47" spans="7:19" ht="15.75" x14ac:dyDescent="0.25">
      <c r="G47" s="403"/>
      <c r="H47" s="106"/>
      <c r="I47" s="254" t="s">
        <v>235</v>
      </c>
      <c r="J47" s="20"/>
      <c r="K47" s="102"/>
      <c r="L47" s="21"/>
      <c r="M47" s="21"/>
      <c r="N47" s="21"/>
      <c r="O47" s="21"/>
      <c r="P47" s="21"/>
      <c r="Q47" s="368">
        <f>+Q44+Q46</f>
        <v>9881110.5</v>
      </c>
      <c r="R47" s="490"/>
      <c r="S47" s="419"/>
    </row>
    <row r="48" spans="7:19" ht="16.5" thickBot="1" x14ac:dyDescent="0.3">
      <c r="G48" s="405"/>
      <c r="H48" s="423"/>
      <c r="I48" s="409"/>
      <c r="J48" s="183"/>
      <c r="K48" s="406"/>
      <c r="L48" s="386"/>
      <c r="M48" s="386"/>
      <c r="N48" s="386"/>
      <c r="O48" s="386"/>
      <c r="P48" s="386"/>
      <c r="Q48" s="407"/>
      <c r="R48" s="490"/>
      <c r="S48" s="419"/>
    </row>
    <row r="49" spans="6:23" ht="47.25" x14ac:dyDescent="0.25">
      <c r="G49" s="234" t="s">
        <v>212</v>
      </c>
      <c r="H49" s="101" t="s">
        <v>48</v>
      </c>
      <c r="I49" s="410" t="s">
        <v>56</v>
      </c>
      <c r="J49" s="377"/>
      <c r="K49" s="378"/>
      <c r="L49" s="379"/>
      <c r="M49" s="379"/>
      <c r="N49" s="379"/>
      <c r="O49" s="379"/>
      <c r="P49" s="379"/>
      <c r="Q49" s="427">
        <v>8592270</v>
      </c>
      <c r="R49" s="492"/>
      <c r="S49" s="419" t="s">
        <v>237</v>
      </c>
    </row>
    <row r="50" spans="6:23" ht="15.75" x14ac:dyDescent="0.25">
      <c r="G50" s="234"/>
      <c r="H50" s="92"/>
      <c r="I50" s="254" t="s">
        <v>192</v>
      </c>
      <c r="J50" s="20"/>
      <c r="K50" s="102"/>
      <c r="L50" s="21"/>
      <c r="M50" s="21"/>
      <c r="N50" s="21"/>
      <c r="O50" s="21"/>
      <c r="P50" s="21"/>
      <c r="Q50" s="380">
        <v>0.15</v>
      </c>
      <c r="R50" s="491"/>
      <c r="S50" s="419" t="s">
        <v>237</v>
      </c>
    </row>
    <row r="51" spans="6:23" ht="15.75" x14ac:dyDescent="0.25">
      <c r="G51" s="234"/>
      <c r="H51" s="92"/>
      <c r="I51" s="254" t="s">
        <v>191</v>
      </c>
      <c r="J51" s="20"/>
      <c r="K51" s="102"/>
      <c r="L51" s="21"/>
      <c r="M51" s="21"/>
      <c r="N51" s="21"/>
      <c r="O51" s="21"/>
      <c r="P51" s="21"/>
      <c r="Q51" s="425">
        <f>+Q49*Q50</f>
        <v>1288840.5</v>
      </c>
      <c r="R51" s="492"/>
      <c r="S51" s="419"/>
    </row>
    <row r="52" spans="6:23" ht="15.75" x14ac:dyDescent="0.25">
      <c r="G52" s="234"/>
      <c r="H52" s="106"/>
      <c r="I52" s="254" t="s">
        <v>241</v>
      </c>
      <c r="J52" s="20"/>
      <c r="K52" s="102"/>
      <c r="L52" s="21"/>
      <c r="M52" s="21"/>
      <c r="N52" s="21"/>
      <c r="O52" s="21"/>
      <c r="P52" s="21"/>
      <c r="Q52" s="425">
        <f>+Q49*10%</f>
        <v>859227</v>
      </c>
      <c r="R52" s="492"/>
      <c r="S52" s="419"/>
    </row>
    <row r="53" spans="6:23" ht="15.75" x14ac:dyDescent="0.25">
      <c r="G53" s="234"/>
      <c r="H53" s="106"/>
      <c r="I53" s="411" t="s">
        <v>193</v>
      </c>
      <c r="J53" s="20"/>
      <c r="K53" s="102"/>
      <c r="L53" s="21"/>
      <c r="M53" s="21"/>
      <c r="N53" s="21"/>
      <c r="O53" s="21"/>
      <c r="P53" s="21"/>
      <c r="Q53" s="368"/>
      <c r="R53" s="490"/>
      <c r="S53" s="419"/>
    </row>
    <row r="54" spans="6:23" ht="15.75" x14ac:dyDescent="0.25">
      <c r="G54" s="234"/>
      <c r="H54" s="106"/>
      <c r="I54" s="411" t="s">
        <v>194</v>
      </c>
      <c r="J54" s="20"/>
      <c r="K54" s="102"/>
      <c r="L54" s="21"/>
      <c r="M54" s="21"/>
      <c r="N54" s="21"/>
      <c r="O54" s="21"/>
      <c r="P54" s="21"/>
      <c r="Q54" s="368">
        <v>1288840.5</v>
      </c>
      <c r="R54" s="490"/>
      <c r="S54" s="419"/>
    </row>
    <row r="55" spans="6:23" ht="15.75" x14ac:dyDescent="0.25">
      <c r="G55" s="234"/>
      <c r="H55" s="106"/>
      <c r="I55" s="411" t="s">
        <v>199</v>
      </c>
      <c r="J55" s="51" t="s">
        <v>196</v>
      </c>
      <c r="K55" s="102"/>
      <c r="L55" s="21"/>
      <c r="M55" s="21"/>
      <c r="N55" s="21"/>
      <c r="O55" s="21"/>
      <c r="P55" s="21"/>
      <c r="Q55" s="368"/>
      <c r="R55" s="490"/>
      <c r="S55" s="419"/>
    </row>
    <row r="56" spans="6:23" ht="15.75" x14ac:dyDescent="0.25">
      <c r="G56" s="234"/>
      <c r="H56" s="106"/>
      <c r="I56" s="254"/>
      <c r="J56" s="51" t="s">
        <v>197</v>
      </c>
      <c r="K56" s="102"/>
      <c r="L56" s="21"/>
      <c r="M56" s="21"/>
      <c r="N56" s="21"/>
      <c r="O56" s="21"/>
      <c r="P56" s="21"/>
      <c r="Q56" s="368"/>
      <c r="R56" s="490"/>
      <c r="S56" s="419"/>
    </row>
    <row r="57" spans="6:23" s="251" customFormat="1" ht="15.75" x14ac:dyDescent="0.25">
      <c r="F57"/>
      <c r="G57" s="234"/>
      <c r="H57" s="106"/>
      <c r="I57" s="254"/>
      <c r="J57" s="51" t="s">
        <v>198</v>
      </c>
      <c r="K57" s="102"/>
      <c r="L57" s="21"/>
      <c r="M57" s="21"/>
      <c r="N57" s="21"/>
      <c r="O57" s="21"/>
      <c r="P57" s="21"/>
      <c r="Q57" s="368"/>
      <c r="R57" s="490"/>
      <c r="S57" s="419"/>
      <c r="T57"/>
      <c r="U57"/>
      <c r="V57"/>
      <c r="W57"/>
    </row>
    <row r="58" spans="6:23" ht="15.75" x14ac:dyDescent="0.25">
      <c r="F58" s="251"/>
      <c r="G58" s="234"/>
      <c r="H58" s="106"/>
      <c r="I58" s="411" t="s">
        <v>236</v>
      </c>
      <c r="J58" s="51"/>
      <c r="K58" s="102"/>
      <c r="L58" s="21"/>
      <c r="M58" s="21"/>
      <c r="N58" s="21"/>
      <c r="O58" s="21"/>
      <c r="P58" s="21"/>
      <c r="Q58" s="425">
        <f>+Q54</f>
        <v>1288840.5</v>
      </c>
      <c r="R58" s="492"/>
      <c r="S58" s="419"/>
      <c r="T58" s="251"/>
      <c r="U58" s="251"/>
      <c r="V58" s="251"/>
      <c r="W58" s="251"/>
    </row>
    <row r="59" spans="6:23" ht="15.75" x14ac:dyDescent="0.25">
      <c r="G59" s="234"/>
      <c r="H59" s="106"/>
      <c r="I59" s="254" t="s">
        <v>242</v>
      </c>
      <c r="J59" s="51"/>
      <c r="K59" s="102"/>
      <c r="L59" s="21"/>
      <c r="M59" s="21"/>
      <c r="N59" s="21"/>
      <c r="O59" s="21"/>
      <c r="P59" s="21"/>
      <c r="Q59" s="368"/>
      <c r="R59" s="490"/>
      <c r="S59" s="419"/>
    </row>
    <row r="60" spans="6:23" ht="15.75" x14ac:dyDescent="0.25">
      <c r="G60" s="234"/>
      <c r="H60" s="106"/>
      <c r="I60" s="411" t="s">
        <v>193</v>
      </c>
      <c r="J60" s="51"/>
      <c r="K60" s="102"/>
      <c r="L60" s="21"/>
      <c r="M60" s="21"/>
      <c r="N60" s="21"/>
      <c r="O60" s="21"/>
      <c r="P60" s="21"/>
      <c r="Q60" s="368">
        <v>0</v>
      </c>
      <c r="R60" s="490"/>
      <c r="S60" s="419"/>
    </row>
    <row r="61" spans="6:23" ht="15.75" x14ac:dyDescent="0.25">
      <c r="G61" s="234"/>
      <c r="H61" s="92"/>
      <c r="I61" s="411" t="s">
        <v>194</v>
      </c>
      <c r="J61" s="20"/>
      <c r="K61" s="102"/>
      <c r="L61" s="21"/>
      <c r="M61" s="21"/>
      <c r="N61" s="21"/>
      <c r="O61" s="21"/>
      <c r="P61" s="21"/>
      <c r="Q61" s="368">
        <v>0</v>
      </c>
      <c r="R61" s="490"/>
      <c r="S61" s="419"/>
    </row>
    <row r="62" spans="6:23" ht="15.75" x14ac:dyDescent="0.25">
      <c r="G62" s="234"/>
      <c r="H62" s="92"/>
      <c r="I62" s="411" t="s">
        <v>199</v>
      </c>
      <c r="J62" s="51" t="s">
        <v>196</v>
      </c>
      <c r="K62" s="102"/>
      <c r="L62" s="21"/>
      <c r="M62" s="21"/>
      <c r="N62" s="21"/>
      <c r="O62" s="21"/>
      <c r="P62" s="21"/>
      <c r="Q62" s="368">
        <v>0</v>
      </c>
      <c r="R62" s="490"/>
      <c r="S62" s="419"/>
    </row>
    <row r="63" spans="6:23" ht="15.75" x14ac:dyDescent="0.25">
      <c r="G63" s="234"/>
      <c r="H63" s="92"/>
      <c r="I63" s="254"/>
      <c r="J63" s="51" t="s">
        <v>197</v>
      </c>
      <c r="K63" s="102"/>
      <c r="L63" s="21"/>
      <c r="M63" s="21"/>
      <c r="N63" s="21"/>
      <c r="O63" s="21"/>
      <c r="P63" s="21"/>
      <c r="Q63" s="368">
        <v>0</v>
      </c>
      <c r="R63" s="490"/>
      <c r="S63" s="419"/>
    </row>
    <row r="64" spans="6:23" s="251" customFormat="1" ht="15.75" x14ac:dyDescent="0.25">
      <c r="F64"/>
      <c r="G64" s="234"/>
      <c r="H64" s="92"/>
      <c r="I64" s="254"/>
      <c r="J64" s="51" t="s">
        <v>198</v>
      </c>
      <c r="K64" s="102"/>
      <c r="L64" s="21"/>
      <c r="M64" s="21"/>
      <c r="N64" s="21"/>
      <c r="O64" s="21"/>
      <c r="P64" s="21"/>
      <c r="Q64" s="368">
        <v>0</v>
      </c>
      <c r="R64" s="490"/>
      <c r="S64" s="419"/>
      <c r="T64"/>
      <c r="U64"/>
      <c r="V64"/>
      <c r="W64"/>
    </row>
    <row r="65" spans="6:23" s="251" customFormat="1" ht="16.5" thickBot="1" x14ac:dyDescent="0.3">
      <c r="G65" s="235"/>
      <c r="H65" s="384"/>
      <c r="I65" s="412" t="s">
        <v>243</v>
      </c>
      <c r="J65" s="376"/>
      <c r="K65" s="385"/>
      <c r="L65" s="386"/>
      <c r="M65" s="386"/>
      <c r="N65" s="386"/>
      <c r="O65" s="386"/>
      <c r="P65" s="386"/>
      <c r="Q65" s="426">
        <f>SUM(Q59:Q64)</f>
        <v>0</v>
      </c>
      <c r="R65" s="493"/>
      <c r="S65" s="419"/>
    </row>
    <row r="66" spans="6:23" ht="15.75" x14ac:dyDescent="0.25">
      <c r="F66" s="251"/>
      <c r="G66" s="233" t="s">
        <v>220</v>
      </c>
      <c r="H66" s="393" t="s">
        <v>244</v>
      </c>
      <c r="I66" s="408" t="s">
        <v>101</v>
      </c>
      <c r="J66" s="375"/>
      <c r="K66" s="375"/>
      <c r="L66" s="394"/>
      <c r="M66" s="394"/>
      <c r="N66" s="394"/>
      <c r="O66" s="394"/>
      <c r="P66" s="394"/>
      <c r="Q66" s="421">
        <f>Q49+Q51-Q52-Q58+Q65</f>
        <v>7733043</v>
      </c>
      <c r="R66" s="494"/>
      <c r="S66" s="419"/>
      <c r="T66" s="251"/>
      <c r="U66" s="251"/>
      <c r="V66" s="251"/>
      <c r="W66" s="251"/>
    </row>
    <row r="67" spans="6:23" ht="15.75" x14ac:dyDescent="0.25">
      <c r="G67" s="234"/>
      <c r="H67" s="107"/>
      <c r="I67" s="254" t="s">
        <v>62</v>
      </c>
      <c r="J67" s="20"/>
      <c r="K67" s="20"/>
      <c r="L67" s="3"/>
      <c r="M67" s="3"/>
      <c r="N67" s="3"/>
      <c r="O67" s="3"/>
      <c r="P67" s="3"/>
      <c r="Q67" s="370"/>
      <c r="R67" s="495"/>
      <c r="S67" s="419"/>
    </row>
    <row r="68" spans="6:23" ht="15.75" x14ac:dyDescent="0.25">
      <c r="G68" s="234"/>
      <c r="H68" s="107"/>
      <c r="I68" s="416" t="s">
        <v>202</v>
      </c>
      <c r="J68" s="255"/>
      <c r="K68" s="259"/>
      <c r="L68" s="256"/>
      <c r="M68" s="256"/>
      <c r="N68" s="256"/>
      <c r="O68" s="256"/>
      <c r="P68" s="256"/>
      <c r="Q68" s="372"/>
      <c r="R68" s="496"/>
      <c r="S68" s="419"/>
    </row>
    <row r="69" spans="6:23" ht="15.75" x14ac:dyDescent="0.25">
      <c r="G69" s="234"/>
      <c r="H69" s="107"/>
      <c r="I69" s="416" t="s">
        <v>200</v>
      </c>
      <c r="J69" s="255"/>
      <c r="K69" s="257"/>
      <c r="L69" s="258"/>
      <c r="M69" s="258"/>
      <c r="N69" s="258"/>
      <c r="O69" s="258"/>
      <c r="P69" s="258"/>
      <c r="Q69" s="373" t="s">
        <v>201</v>
      </c>
      <c r="R69" s="497"/>
      <c r="S69" s="419"/>
    </row>
    <row r="70" spans="6:23" s="251" customFormat="1" ht="16.5" thickBot="1" x14ac:dyDescent="0.3">
      <c r="F70"/>
      <c r="G70" s="235"/>
      <c r="H70" s="424"/>
      <c r="I70" s="417" t="s">
        <v>62</v>
      </c>
      <c r="J70" s="395"/>
      <c r="K70" s="396"/>
      <c r="L70" s="397"/>
      <c r="M70" s="397"/>
      <c r="N70" s="397"/>
      <c r="O70" s="397"/>
      <c r="P70" s="397"/>
      <c r="Q70" s="398">
        <v>43243</v>
      </c>
      <c r="R70" s="497"/>
      <c r="S70" s="419"/>
      <c r="T70"/>
      <c r="U70"/>
      <c r="V70"/>
      <c r="W70"/>
    </row>
    <row r="71" spans="6:23" s="251" customFormat="1" ht="15.75" x14ac:dyDescent="0.25">
      <c r="G71" s="234" t="s">
        <v>216</v>
      </c>
      <c r="H71" s="91" t="s">
        <v>96</v>
      </c>
      <c r="I71" s="413" t="s">
        <v>97</v>
      </c>
      <c r="J71" s="40"/>
      <c r="K71" s="382"/>
      <c r="L71" s="379"/>
      <c r="M71" s="379"/>
      <c r="N71" s="379"/>
      <c r="O71" s="379"/>
      <c r="P71" s="379"/>
      <c r="Q71" s="383">
        <f>+Q44-Q49</f>
        <v>0</v>
      </c>
      <c r="R71" s="498"/>
      <c r="S71" s="419" t="s">
        <v>186</v>
      </c>
    </row>
    <row r="72" spans="6:23" s="251" customFormat="1" ht="15.6" customHeight="1" x14ac:dyDescent="0.25">
      <c r="G72" s="234"/>
      <c r="H72" s="91"/>
      <c r="I72" s="254" t="s">
        <v>98</v>
      </c>
      <c r="J72" s="51"/>
      <c r="K72" s="104"/>
      <c r="L72" s="21"/>
      <c r="M72" s="21"/>
      <c r="N72" s="21"/>
      <c r="O72" s="21"/>
      <c r="P72" s="21"/>
      <c r="Q72" s="369" t="s">
        <v>153</v>
      </c>
      <c r="R72" s="499"/>
      <c r="S72" s="419" t="s">
        <v>184</v>
      </c>
    </row>
    <row r="73" spans="6:23" ht="15.75" x14ac:dyDescent="0.25">
      <c r="F73" s="251"/>
      <c r="G73" s="234"/>
      <c r="H73" s="108"/>
      <c r="I73" s="254" t="s">
        <v>99</v>
      </c>
      <c r="J73" s="51"/>
      <c r="K73" s="144"/>
      <c r="L73" s="21"/>
      <c r="M73" s="21"/>
      <c r="N73" s="21"/>
      <c r="O73" s="21"/>
      <c r="P73" s="21"/>
      <c r="Q73" s="381"/>
      <c r="R73" s="500"/>
      <c r="S73" s="419" t="s">
        <v>185</v>
      </c>
      <c r="T73" s="251"/>
      <c r="U73" s="251"/>
      <c r="V73" s="251"/>
      <c r="W73" s="251"/>
    </row>
    <row r="74" spans="6:23" ht="15.75" x14ac:dyDescent="0.25">
      <c r="G74" s="234"/>
      <c r="H74" s="108"/>
      <c r="I74" s="415" t="s">
        <v>106</v>
      </c>
      <c r="J74" s="260"/>
      <c r="K74" s="260"/>
      <c r="L74" s="85"/>
      <c r="M74" s="85"/>
      <c r="N74" s="85"/>
      <c r="O74" s="85"/>
      <c r="P74" s="85"/>
      <c r="Q74" s="371"/>
      <c r="R74" s="84"/>
      <c r="S74" s="419"/>
    </row>
    <row r="75" spans="6:23" s="251" customFormat="1" ht="15.75" x14ac:dyDescent="0.25">
      <c r="F75"/>
      <c r="G75" s="234"/>
      <c r="H75" s="108"/>
      <c r="I75" s="254" t="s">
        <v>103</v>
      </c>
      <c r="J75" s="20"/>
      <c r="K75" s="20"/>
      <c r="L75" s="3"/>
      <c r="M75" s="3"/>
      <c r="N75" s="3"/>
      <c r="O75" s="3"/>
      <c r="P75" s="3"/>
      <c r="Q75" s="370"/>
      <c r="R75" s="495"/>
      <c r="S75" s="419"/>
      <c r="T75"/>
      <c r="U75"/>
      <c r="V75"/>
      <c r="W75"/>
    </row>
    <row r="76" spans="6:23" ht="15.75" x14ac:dyDescent="0.25">
      <c r="F76" s="251"/>
      <c r="G76" s="234"/>
      <c r="H76" s="91"/>
      <c r="I76" s="414" t="s">
        <v>100</v>
      </c>
      <c r="J76" s="387"/>
      <c r="K76" s="388"/>
      <c r="L76" s="389"/>
      <c r="M76" s="389"/>
      <c r="N76" s="389"/>
      <c r="O76" s="389"/>
      <c r="P76" s="389"/>
      <c r="Q76" s="399" t="s">
        <v>239</v>
      </c>
      <c r="R76" s="501"/>
      <c r="S76" s="419" t="s">
        <v>183</v>
      </c>
      <c r="T76" s="251"/>
      <c r="U76" s="251"/>
      <c r="V76" s="251"/>
      <c r="W76" s="251"/>
    </row>
    <row r="77" spans="6:23" ht="94.5" x14ac:dyDescent="0.25">
      <c r="G77" s="234"/>
      <c r="H77" s="390" t="s">
        <v>58</v>
      </c>
      <c r="I77" s="410" t="s">
        <v>63</v>
      </c>
      <c r="J77" s="377"/>
      <c r="K77" s="377"/>
      <c r="L77" s="391"/>
      <c r="M77" s="391"/>
      <c r="N77" s="391"/>
      <c r="O77" s="391"/>
      <c r="P77" s="391"/>
      <c r="Q77" s="392"/>
      <c r="R77" s="495"/>
      <c r="S77" s="419"/>
    </row>
    <row r="78" spans="6:23" ht="46.9" customHeight="1" thickBot="1" x14ac:dyDescent="0.3">
      <c r="G78" s="235"/>
      <c r="H78" s="236"/>
      <c r="I78" s="409" t="s">
        <v>59</v>
      </c>
      <c r="J78" s="183"/>
      <c r="K78" s="183"/>
      <c r="L78" s="184"/>
      <c r="M78" s="184"/>
      <c r="N78" s="184"/>
      <c r="O78" s="184"/>
      <c r="P78" s="184"/>
      <c r="Q78" s="374"/>
      <c r="R78" s="495"/>
      <c r="S78" s="419"/>
    </row>
    <row r="79" spans="6:23" x14ac:dyDescent="0.25">
      <c r="S79" s="419"/>
    </row>
    <row r="82" spans="7:7" ht="31.5" x14ac:dyDescent="0.5">
      <c r="G82" s="428" t="s">
        <v>245</v>
      </c>
    </row>
    <row r="83" spans="7:7" ht="31.5" x14ac:dyDescent="0.5">
      <c r="G83" s="429" t="s">
        <v>246</v>
      </c>
    </row>
  </sheetData>
  <pageMargins left="0.7" right="0.7" top="0.75" bottom="0.75" header="0.3" footer="0.3"/>
  <pageSetup paperSize="9" orientation="portrait" verticalDpi="0" r:id="rId1"/>
  <ignoredErrors>
    <ignoredError sqref="K27:M36 K6:M18 L19:M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21"/>
  <sheetViews>
    <sheetView zoomScale="70" zoomScaleNormal="70" workbookViewId="0"/>
  </sheetViews>
  <sheetFormatPr defaultRowHeight="15" x14ac:dyDescent="0.25"/>
  <cols>
    <col min="1" max="1" width="7.140625" customWidth="1"/>
    <col min="2" max="2" width="16.7109375" customWidth="1"/>
    <col min="3" max="3" width="11.28515625" customWidth="1"/>
    <col min="4" max="6" width="13.7109375" customWidth="1"/>
    <col min="7" max="7" width="4" customWidth="1"/>
    <col min="8" max="8" width="9.7109375" customWidth="1"/>
    <col min="9" max="9" width="36.140625" customWidth="1"/>
    <col min="10" max="10" width="10.7109375" customWidth="1"/>
    <col min="11" max="11" width="18.28515625" customWidth="1"/>
    <col min="12" max="12" width="10.85546875" customWidth="1"/>
    <col min="13" max="13" width="13.28515625" bestFit="1" customWidth="1"/>
    <col min="14" max="14" width="12.5703125" customWidth="1"/>
    <col min="15" max="15" width="12.5703125" hidden="1" customWidth="1"/>
    <col min="16" max="17" width="12.5703125" customWidth="1"/>
    <col min="18" max="21" width="12.5703125" hidden="1" customWidth="1"/>
    <col min="22" max="28" width="12.5703125" customWidth="1"/>
    <col min="29" max="29" width="15.28515625" bestFit="1" customWidth="1"/>
  </cols>
  <sheetData>
    <row r="1" spans="1:29" ht="33.75" x14ac:dyDescent="0.5">
      <c r="C1" s="111"/>
      <c r="H1" s="261" t="s">
        <v>203</v>
      </c>
      <c r="I1" s="261"/>
      <c r="J1" s="261"/>
      <c r="K1" s="262"/>
    </row>
    <row r="3" spans="1:29" ht="36" x14ac:dyDescent="0.55000000000000004">
      <c r="A3" s="111" t="s">
        <v>204</v>
      </c>
      <c r="B3" s="111"/>
      <c r="C3" s="111"/>
      <c r="H3" s="263" t="s">
        <v>205</v>
      </c>
      <c r="I3" s="264"/>
      <c r="J3" s="265"/>
      <c r="K3" s="265"/>
      <c r="L3" s="266" t="s">
        <v>206</v>
      </c>
      <c r="M3" s="266" t="s">
        <v>175</v>
      </c>
      <c r="N3" s="267">
        <f>MAX(N43,N75,N87,N99,N111)</f>
        <v>42709</v>
      </c>
      <c r="O3" s="267">
        <v>42731</v>
      </c>
      <c r="P3" s="267">
        <f>MAX(P43,P75,P87,O99,P111)</f>
        <v>42755</v>
      </c>
      <c r="Q3" s="267">
        <f>MAX(Q43,Q75,Q87,Q99,Q111)</f>
        <v>42755</v>
      </c>
      <c r="R3" s="267">
        <v>42887</v>
      </c>
      <c r="S3" s="267">
        <f t="shared" ref="S3:AA3" si="0">MAX(S43,S75,S87,S99,S111)</f>
        <v>42958</v>
      </c>
      <c r="T3" s="267">
        <f t="shared" si="0"/>
        <v>42989</v>
      </c>
      <c r="U3" s="267">
        <f t="shared" si="0"/>
        <v>43230</v>
      </c>
      <c r="V3" s="267">
        <f t="shared" si="0"/>
        <v>43175</v>
      </c>
      <c r="W3" s="267">
        <f t="shared" si="0"/>
        <v>43217</v>
      </c>
      <c r="X3" s="267">
        <f t="shared" si="0"/>
        <v>43216</v>
      </c>
      <c r="Y3" s="267">
        <f t="shared" si="0"/>
        <v>43328</v>
      </c>
      <c r="Z3" s="267">
        <f t="shared" si="0"/>
        <v>43516</v>
      </c>
      <c r="AA3" s="267">
        <f t="shared" si="0"/>
        <v>43522</v>
      </c>
      <c r="AB3" s="267" t="s">
        <v>119</v>
      </c>
      <c r="AC3" s="268" t="s">
        <v>207</v>
      </c>
    </row>
    <row r="4" spans="1:29" x14ac:dyDescent="0.25">
      <c r="A4" s="269">
        <v>1</v>
      </c>
      <c r="B4" s="270" t="s">
        <v>27</v>
      </c>
      <c r="C4" s="270"/>
      <c r="D4" s="270"/>
      <c r="E4" s="270"/>
      <c r="F4" s="271">
        <v>15204000</v>
      </c>
      <c r="H4" s="272"/>
      <c r="I4" s="273" t="s">
        <v>126</v>
      </c>
      <c r="J4" s="274">
        <v>0</v>
      </c>
      <c r="K4" s="275">
        <f>+$D$26*J4</f>
        <v>0</v>
      </c>
      <c r="L4" s="276">
        <v>7</v>
      </c>
      <c r="M4" s="277">
        <f t="shared" ref="M4:M12" si="1">+$C$27+L4</f>
        <v>42621</v>
      </c>
      <c r="N4" s="275">
        <f t="shared" ref="N4:AA4" si="2">+N44+N76+N88+N100+N112</f>
        <v>0</v>
      </c>
      <c r="O4" s="275" t="e">
        <f>+O44+O76+O88+#REF!+O112</f>
        <v>#REF!</v>
      </c>
      <c r="P4" s="275">
        <f>+P44+P76+P88+O100+P112</f>
        <v>0</v>
      </c>
      <c r="Q4" s="275">
        <f t="shared" si="2"/>
        <v>0</v>
      </c>
      <c r="R4" s="275">
        <f t="shared" si="2"/>
        <v>0</v>
      </c>
      <c r="S4" s="275">
        <f t="shared" si="2"/>
        <v>0</v>
      </c>
      <c r="T4" s="275">
        <f t="shared" si="2"/>
        <v>0</v>
      </c>
      <c r="U4" s="275">
        <f t="shared" si="2"/>
        <v>0</v>
      </c>
      <c r="V4" s="275">
        <f t="shared" si="2"/>
        <v>0</v>
      </c>
      <c r="W4" s="275">
        <f t="shared" si="2"/>
        <v>0</v>
      </c>
      <c r="X4" s="275">
        <f t="shared" si="2"/>
        <v>0</v>
      </c>
      <c r="Y4" s="275">
        <f t="shared" si="2"/>
        <v>0</v>
      </c>
      <c r="Z4" s="275">
        <f t="shared" si="2"/>
        <v>0</v>
      </c>
      <c r="AA4" s="275">
        <f t="shared" si="2"/>
        <v>0</v>
      </c>
      <c r="AB4" s="275" t="e">
        <f>SUM(N4:AA4)</f>
        <v>#REF!</v>
      </c>
      <c r="AC4" s="275" t="e">
        <f t="shared" ref="AC4:AC14" si="3">+K4-AB4</f>
        <v>#REF!</v>
      </c>
    </row>
    <row r="5" spans="1:29" x14ac:dyDescent="0.25">
      <c r="A5" s="269">
        <v>2</v>
      </c>
      <c r="B5" s="270" t="s">
        <v>29</v>
      </c>
      <c r="C5" s="270"/>
      <c r="D5" s="270"/>
      <c r="E5" s="270"/>
      <c r="F5" s="271">
        <v>21369600</v>
      </c>
      <c r="H5" s="272" t="s">
        <v>127</v>
      </c>
      <c r="I5" s="273" t="s">
        <v>128</v>
      </c>
      <c r="J5" s="274">
        <v>0.15</v>
      </c>
      <c r="K5" s="275">
        <f t="shared" ref="K5:K11" si="4">+$D$26*J5</f>
        <v>8592270</v>
      </c>
      <c r="L5" s="276">
        <v>15</v>
      </c>
      <c r="M5" s="277">
        <f t="shared" si="1"/>
        <v>42629</v>
      </c>
      <c r="N5" s="507">
        <f t="shared" ref="N5:AA5" si="5">+N45+N77+N89+N101+N113</f>
        <v>8592270</v>
      </c>
      <c r="O5" s="275" t="e">
        <f>+O45+O77+O89+#REF!+O113</f>
        <v>#REF!</v>
      </c>
      <c r="P5" s="275">
        <f>+P45+P77+P89+O101+P113</f>
        <v>0</v>
      </c>
      <c r="Q5" s="275">
        <f t="shared" si="5"/>
        <v>0</v>
      </c>
      <c r="R5" s="275">
        <f t="shared" si="5"/>
        <v>0</v>
      </c>
      <c r="S5" s="275">
        <f t="shared" si="5"/>
        <v>0</v>
      </c>
      <c r="T5" s="275">
        <f t="shared" si="5"/>
        <v>0</v>
      </c>
      <c r="U5" s="275">
        <f t="shared" si="5"/>
        <v>0</v>
      </c>
      <c r="V5" s="275">
        <f t="shared" si="5"/>
        <v>0</v>
      </c>
      <c r="W5" s="275">
        <f t="shared" si="5"/>
        <v>0</v>
      </c>
      <c r="X5" s="275">
        <f t="shared" si="5"/>
        <v>0</v>
      </c>
      <c r="Y5" s="275">
        <f t="shared" si="5"/>
        <v>0</v>
      </c>
      <c r="Z5" s="275">
        <f t="shared" si="5"/>
        <v>0</v>
      </c>
      <c r="AA5" s="275">
        <f t="shared" si="5"/>
        <v>0</v>
      </c>
      <c r="AB5" s="275" t="e">
        <f>SUM(N5:AA5)</f>
        <v>#REF!</v>
      </c>
      <c r="AC5" s="275" t="e">
        <f t="shared" si="3"/>
        <v>#REF!</v>
      </c>
    </row>
    <row r="6" spans="1:29" ht="30" x14ac:dyDescent="0.25">
      <c r="A6" s="269">
        <v>3</v>
      </c>
      <c r="B6" s="270" t="s">
        <v>32</v>
      </c>
      <c r="C6" s="270"/>
      <c r="D6" s="270"/>
      <c r="E6" s="270"/>
      <c r="F6" s="271">
        <v>100000</v>
      </c>
      <c r="H6" s="272" t="s">
        <v>129</v>
      </c>
      <c r="I6" s="273" t="s">
        <v>130</v>
      </c>
      <c r="J6" s="274">
        <v>0.1</v>
      </c>
      <c r="K6" s="275">
        <f t="shared" si="4"/>
        <v>5728180</v>
      </c>
      <c r="L6" s="276">
        <v>45</v>
      </c>
      <c r="M6" s="277">
        <f t="shared" si="1"/>
        <v>42659</v>
      </c>
      <c r="N6" s="275">
        <f t="shared" ref="N6:AA6" si="6">+N46+N78+N90+N102+N114</f>
        <v>0</v>
      </c>
      <c r="O6" s="275" t="e">
        <f>+O46+O78+O90+#REF!+O114</f>
        <v>#REF!</v>
      </c>
      <c r="P6" s="275">
        <f>+P46+P78+P90+O102+P114</f>
        <v>0</v>
      </c>
      <c r="Q6" s="275">
        <f t="shared" si="6"/>
        <v>0</v>
      </c>
      <c r="R6" s="275">
        <f t="shared" si="6"/>
        <v>0</v>
      </c>
      <c r="S6" s="275">
        <f t="shared" si="6"/>
        <v>0</v>
      </c>
      <c r="T6" s="275">
        <f t="shared" si="6"/>
        <v>0</v>
      </c>
      <c r="U6" s="275">
        <f t="shared" si="6"/>
        <v>0</v>
      </c>
      <c r="V6" s="275">
        <f t="shared" si="6"/>
        <v>0</v>
      </c>
      <c r="W6" s="275">
        <f t="shared" si="6"/>
        <v>0</v>
      </c>
      <c r="X6" s="275">
        <f t="shared" si="6"/>
        <v>0</v>
      </c>
      <c r="Y6" s="275">
        <f t="shared" si="6"/>
        <v>882139.72</v>
      </c>
      <c r="Z6" s="275">
        <f t="shared" si="6"/>
        <v>1151364.1800000002</v>
      </c>
      <c r="AA6" s="275">
        <f t="shared" si="6"/>
        <v>1260199.6000000001</v>
      </c>
      <c r="AB6" s="275" t="e">
        <f t="shared" ref="AB6:AB14" si="7">SUM(N6:AA6)</f>
        <v>#REF!</v>
      </c>
      <c r="AC6" s="275" t="e">
        <f t="shared" si="3"/>
        <v>#REF!</v>
      </c>
    </row>
    <row r="7" spans="1:29" ht="45" x14ac:dyDescent="0.25">
      <c r="A7" s="269">
        <v>4</v>
      </c>
      <c r="B7" s="270" t="s">
        <v>33</v>
      </c>
      <c r="C7" s="270"/>
      <c r="D7" s="270"/>
      <c r="E7" s="270"/>
      <c r="F7" s="271">
        <v>500000</v>
      </c>
      <c r="H7" s="272" t="s">
        <v>131</v>
      </c>
      <c r="I7" s="273" t="s">
        <v>132</v>
      </c>
      <c r="J7" s="274">
        <v>0.1</v>
      </c>
      <c r="K7" s="275">
        <f t="shared" si="4"/>
        <v>5728180</v>
      </c>
      <c r="L7" s="276">
        <v>60</v>
      </c>
      <c r="M7" s="277">
        <f t="shared" si="1"/>
        <v>42674</v>
      </c>
      <c r="N7" s="275">
        <f t="shared" ref="N7:AA7" si="8">+N47+N79+N91+N103+N115</f>
        <v>0</v>
      </c>
      <c r="O7" s="275" t="e">
        <f>+O47+O79+O91+#REF!+O115</f>
        <v>#REF!</v>
      </c>
      <c r="P7" s="506">
        <f>+P47+P79+P91+O103+P115</f>
        <v>4049823.2600000002</v>
      </c>
      <c r="Q7" s="275">
        <f t="shared" si="8"/>
        <v>0</v>
      </c>
      <c r="R7" s="275">
        <f t="shared" si="8"/>
        <v>0</v>
      </c>
      <c r="S7" s="275">
        <f t="shared" si="8"/>
        <v>0</v>
      </c>
      <c r="T7" s="275">
        <f t="shared" si="8"/>
        <v>0</v>
      </c>
      <c r="U7" s="275">
        <f t="shared" si="8"/>
        <v>0</v>
      </c>
      <c r="V7" s="275">
        <f t="shared" si="8"/>
        <v>0</v>
      </c>
      <c r="W7" s="275">
        <f t="shared" si="8"/>
        <v>0</v>
      </c>
      <c r="X7" s="275">
        <f t="shared" si="8"/>
        <v>0</v>
      </c>
      <c r="Y7" s="275">
        <f t="shared" si="8"/>
        <v>882139.72</v>
      </c>
      <c r="Z7" s="275">
        <f t="shared" si="8"/>
        <v>0</v>
      </c>
      <c r="AA7" s="275">
        <f t="shared" si="8"/>
        <v>0</v>
      </c>
      <c r="AB7" s="275" t="e">
        <f t="shared" si="7"/>
        <v>#REF!</v>
      </c>
      <c r="AC7" s="275" t="e">
        <f t="shared" si="3"/>
        <v>#REF!</v>
      </c>
    </row>
    <row r="8" spans="1:29" ht="30" x14ac:dyDescent="0.25">
      <c r="A8" s="269">
        <v>5</v>
      </c>
      <c r="B8" s="270" t="s">
        <v>34</v>
      </c>
      <c r="C8" s="270"/>
      <c r="D8" s="270"/>
      <c r="E8" s="270"/>
      <c r="F8" s="271">
        <v>200000</v>
      </c>
      <c r="H8" s="272" t="s">
        <v>133</v>
      </c>
      <c r="I8" s="273" t="s">
        <v>134</v>
      </c>
      <c r="J8" s="274">
        <v>0.1</v>
      </c>
      <c r="K8" s="275">
        <f t="shared" si="4"/>
        <v>5728180</v>
      </c>
      <c r="L8" s="276">
        <v>150</v>
      </c>
      <c r="M8" s="277">
        <f t="shared" si="1"/>
        <v>42764</v>
      </c>
      <c r="N8" s="275">
        <f t="shared" ref="N8:AA8" si="9">+N48+N80+N92+N104+N116</f>
        <v>0</v>
      </c>
      <c r="O8" s="275" t="e">
        <f>+O48+O80+O92+#REF!+O116</f>
        <v>#REF!</v>
      </c>
      <c r="P8" s="506">
        <f>+P48+P80+P92+P104+P116</f>
        <v>4049823.2600000002</v>
      </c>
      <c r="Q8" s="275">
        <f t="shared" si="9"/>
        <v>0</v>
      </c>
      <c r="R8" s="275">
        <f t="shared" si="9"/>
        <v>0</v>
      </c>
      <c r="S8" s="275">
        <f t="shared" si="9"/>
        <v>0</v>
      </c>
      <c r="T8" s="275">
        <f t="shared" si="9"/>
        <v>0</v>
      </c>
      <c r="U8" s="275">
        <f t="shared" si="9"/>
        <v>0</v>
      </c>
      <c r="V8" s="275">
        <f t="shared" si="9"/>
        <v>0</v>
      </c>
      <c r="W8" s="275">
        <f t="shared" si="9"/>
        <v>0</v>
      </c>
      <c r="X8" s="275">
        <f t="shared" si="9"/>
        <v>0</v>
      </c>
      <c r="Y8" s="275">
        <f t="shared" si="9"/>
        <v>882139.72</v>
      </c>
      <c r="Z8" s="275">
        <f t="shared" si="9"/>
        <v>0</v>
      </c>
      <c r="AA8" s="275">
        <f t="shared" si="9"/>
        <v>0</v>
      </c>
      <c r="AB8" s="275" t="e">
        <f t="shared" si="7"/>
        <v>#REF!</v>
      </c>
      <c r="AC8" s="275" t="e">
        <f t="shared" si="3"/>
        <v>#REF!</v>
      </c>
    </row>
    <row r="9" spans="1:29" ht="45" x14ac:dyDescent="0.25">
      <c r="A9" s="269">
        <v>6</v>
      </c>
      <c r="B9" s="270" t="s">
        <v>35</v>
      </c>
      <c r="C9" s="270"/>
      <c r="D9" s="270"/>
      <c r="E9" s="270"/>
      <c r="F9" s="271">
        <v>1000000</v>
      </c>
      <c r="H9" s="272" t="s">
        <v>135</v>
      </c>
      <c r="I9" s="273" t="s">
        <v>136</v>
      </c>
      <c r="J9" s="274">
        <v>0.25</v>
      </c>
      <c r="K9" s="275">
        <f t="shared" si="4"/>
        <v>14320450</v>
      </c>
      <c r="L9" s="276">
        <v>270</v>
      </c>
      <c r="M9" s="277">
        <f t="shared" si="1"/>
        <v>42884</v>
      </c>
      <c r="N9" s="275">
        <f t="shared" ref="N9:AA9" si="10">+N49+N81+N93+N105+N117</f>
        <v>0</v>
      </c>
      <c r="O9" s="275" t="e">
        <f>+O49+O81+O93+#REF!+O117</f>
        <v>#REF!</v>
      </c>
      <c r="P9" s="506">
        <f>+P49+P81+P93+O105+P117</f>
        <v>7246147.6999999993</v>
      </c>
      <c r="Q9" s="275">
        <f t="shared" si="10"/>
        <v>42884</v>
      </c>
      <c r="R9" s="275">
        <f t="shared" si="10"/>
        <v>0</v>
      </c>
      <c r="S9" s="275">
        <f t="shared" si="10"/>
        <v>0</v>
      </c>
      <c r="T9" s="275">
        <f t="shared" si="10"/>
        <v>0</v>
      </c>
      <c r="U9" s="275">
        <f t="shared" si="10"/>
        <v>0</v>
      </c>
      <c r="V9" s="275">
        <f t="shared" si="10"/>
        <v>0</v>
      </c>
      <c r="W9" s="275">
        <f t="shared" si="10"/>
        <v>0</v>
      </c>
      <c r="X9" s="275">
        <f t="shared" si="10"/>
        <v>2205349.2999999998</v>
      </c>
      <c r="Y9" s="275">
        <f t="shared" si="10"/>
        <v>0</v>
      </c>
      <c r="Z9" s="275">
        <f t="shared" si="10"/>
        <v>0</v>
      </c>
      <c r="AA9" s="275">
        <f t="shared" si="10"/>
        <v>0</v>
      </c>
      <c r="AB9" s="275" t="e">
        <f t="shared" si="7"/>
        <v>#REF!</v>
      </c>
      <c r="AC9" s="275" t="e">
        <f t="shared" si="3"/>
        <v>#REF!</v>
      </c>
    </row>
    <row r="10" spans="1:29" ht="30" x14ac:dyDescent="0.25">
      <c r="A10" s="269">
        <v>7</v>
      </c>
      <c r="B10" s="270" t="s">
        <v>36</v>
      </c>
      <c r="C10" s="270"/>
      <c r="D10" s="270"/>
      <c r="E10" s="270"/>
      <c r="F10" s="271">
        <v>19000000</v>
      </c>
      <c r="H10" s="272" t="s">
        <v>137</v>
      </c>
      <c r="I10" s="273" t="s">
        <v>138</v>
      </c>
      <c r="J10" s="274">
        <v>0.2</v>
      </c>
      <c r="K10" s="275">
        <f t="shared" si="4"/>
        <v>11456360</v>
      </c>
      <c r="L10" s="276">
        <v>270</v>
      </c>
      <c r="M10" s="277">
        <f t="shared" si="1"/>
        <v>42884</v>
      </c>
      <c r="N10" s="275">
        <f t="shared" ref="N10:AA10" si="11">+N50+N82+N94+N106+N118</f>
        <v>0</v>
      </c>
      <c r="O10" s="275" t="e">
        <f>+O50+O82+O94+#REF!+O118</f>
        <v>#REF!</v>
      </c>
      <c r="P10" s="275">
        <f>+P50+P82+P94+O106+P118</f>
        <v>0</v>
      </c>
      <c r="Q10" s="275">
        <f t="shared" si="11"/>
        <v>0</v>
      </c>
      <c r="R10" s="275">
        <f t="shared" si="11"/>
        <v>270</v>
      </c>
      <c r="S10" s="275">
        <f t="shared" si="11"/>
        <v>3276518.96</v>
      </c>
      <c r="T10" s="275">
        <f t="shared" si="11"/>
        <v>0</v>
      </c>
      <c r="U10" s="275">
        <f t="shared" si="11"/>
        <v>0</v>
      </c>
      <c r="V10" s="275">
        <f t="shared" si="11"/>
        <v>0</v>
      </c>
      <c r="W10" s="275">
        <f t="shared" si="11"/>
        <v>2520399.2000000002</v>
      </c>
      <c r="X10" s="275">
        <f t="shared" si="11"/>
        <v>0</v>
      </c>
      <c r="Y10" s="275">
        <f t="shared" si="11"/>
        <v>0</v>
      </c>
      <c r="Z10" s="275">
        <f t="shared" si="11"/>
        <v>0</v>
      </c>
      <c r="AA10" s="275">
        <f t="shared" si="11"/>
        <v>0</v>
      </c>
      <c r="AB10" s="275" t="e">
        <f t="shared" si="7"/>
        <v>#REF!</v>
      </c>
      <c r="AC10" s="275" t="e">
        <f t="shared" si="3"/>
        <v>#REF!</v>
      </c>
    </row>
    <row r="11" spans="1:29" ht="30" x14ac:dyDescent="0.25">
      <c r="A11" s="269">
        <v>8</v>
      </c>
      <c r="B11" s="270" t="s">
        <v>39</v>
      </c>
      <c r="C11" s="270"/>
      <c r="D11" s="270"/>
      <c r="E11" s="270"/>
      <c r="F11" s="271">
        <v>20000</v>
      </c>
      <c r="H11" s="272" t="s">
        <v>139</v>
      </c>
      <c r="I11" s="278" t="s">
        <v>140</v>
      </c>
      <c r="J11" s="279">
        <v>0.1</v>
      </c>
      <c r="K11" s="275">
        <f t="shared" si="4"/>
        <v>5728180</v>
      </c>
      <c r="L11" s="276">
        <v>300</v>
      </c>
      <c r="M11" s="277">
        <f t="shared" si="1"/>
        <v>42914</v>
      </c>
      <c r="N11" s="275">
        <f t="shared" ref="N11:AA11" si="12">+N51+N83+N95+N107+N119</f>
        <v>0</v>
      </c>
      <c r="O11" s="275" t="e">
        <f>+O51+O83+O95+#REF!+O119</f>
        <v>#REF!</v>
      </c>
      <c r="P11" s="275">
        <f>+P51+P83+P95+O107+P119</f>
        <v>0</v>
      </c>
      <c r="Q11" s="275">
        <f t="shared" si="12"/>
        <v>0</v>
      </c>
      <c r="R11" s="275">
        <f t="shared" si="12"/>
        <v>0</v>
      </c>
      <c r="S11" s="275">
        <f t="shared" si="12"/>
        <v>0</v>
      </c>
      <c r="T11" s="275">
        <f t="shared" si="12"/>
        <v>1151364.1800000002</v>
      </c>
      <c r="U11" s="275">
        <f t="shared" si="12"/>
        <v>0</v>
      </c>
      <c r="V11" s="275">
        <f t="shared" si="12"/>
        <v>0</v>
      </c>
      <c r="W11" s="275">
        <f t="shared" si="12"/>
        <v>0</v>
      </c>
      <c r="X11" s="275">
        <f t="shared" si="12"/>
        <v>0</v>
      </c>
      <c r="Y11" s="275">
        <f t="shared" si="12"/>
        <v>0</v>
      </c>
      <c r="Z11" s="275">
        <f t="shared" si="12"/>
        <v>0</v>
      </c>
      <c r="AA11" s="275">
        <f t="shared" si="12"/>
        <v>0</v>
      </c>
      <c r="AB11" s="275" t="e">
        <f t="shared" si="7"/>
        <v>#REF!</v>
      </c>
      <c r="AC11" s="275" t="e">
        <f t="shared" si="3"/>
        <v>#REF!</v>
      </c>
    </row>
    <row r="12" spans="1:29" x14ac:dyDescent="0.25">
      <c r="A12" s="269">
        <v>9</v>
      </c>
      <c r="B12" s="280" t="s">
        <v>119</v>
      </c>
      <c r="C12" s="280"/>
      <c r="D12" s="270"/>
      <c r="E12" s="270"/>
      <c r="F12" s="281">
        <f>SUM(F4:F11)</f>
        <v>57393600</v>
      </c>
      <c r="H12" s="272" t="s">
        <v>141</v>
      </c>
      <c r="I12" s="278" t="s">
        <v>142</v>
      </c>
      <c r="J12" s="279"/>
      <c r="K12" s="275">
        <f>+E26</f>
        <v>3396000</v>
      </c>
      <c r="L12" s="276">
        <v>300</v>
      </c>
      <c r="M12" s="277">
        <f t="shared" si="1"/>
        <v>42914</v>
      </c>
      <c r="N12" s="275">
        <f t="shared" ref="N12:AA12" si="13">+N52+N84+N96+N108+N120</f>
        <v>0</v>
      </c>
      <c r="O12" s="275">
        <f t="shared" si="13"/>
        <v>0</v>
      </c>
      <c r="P12" s="275">
        <f t="shared" si="13"/>
        <v>0</v>
      </c>
      <c r="Q12" s="275">
        <f t="shared" si="13"/>
        <v>0</v>
      </c>
      <c r="R12" s="275">
        <f t="shared" si="13"/>
        <v>0</v>
      </c>
      <c r="S12" s="275">
        <f t="shared" si="13"/>
        <v>0</v>
      </c>
      <c r="T12" s="275">
        <f t="shared" si="13"/>
        <v>0</v>
      </c>
      <c r="U12" s="275">
        <f t="shared" si="13"/>
        <v>1570650</v>
      </c>
      <c r="V12" s="275">
        <f t="shared" si="13"/>
        <v>1825350</v>
      </c>
      <c r="W12" s="275">
        <f t="shared" si="13"/>
        <v>0</v>
      </c>
      <c r="X12" s="275">
        <f t="shared" si="13"/>
        <v>0</v>
      </c>
      <c r="Y12" s="275">
        <f t="shared" si="13"/>
        <v>0</v>
      </c>
      <c r="Z12" s="275">
        <f t="shared" si="13"/>
        <v>0</v>
      </c>
      <c r="AA12" s="275">
        <f t="shared" si="13"/>
        <v>0</v>
      </c>
      <c r="AB12" s="275">
        <f t="shared" si="7"/>
        <v>3396000</v>
      </c>
      <c r="AC12" s="275">
        <f t="shared" si="3"/>
        <v>0</v>
      </c>
    </row>
    <row r="13" spans="1:29" x14ac:dyDescent="0.25">
      <c r="A13" s="269">
        <v>10</v>
      </c>
      <c r="B13" s="270" t="s">
        <v>112</v>
      </c>
      <c r="C13" s="270"/>
      <c r="D13" s="270"/>
      <c r="E13" s="270"/>
      <c r="F13" s="271">
        <v>160000</v>
      </c>
      <c r="H13" s="276"/>
      <c r="I13" s="273"/>
      <c r="J13" s="274"/>
      <c r="K13" s="275"/>
      <c r="L13" s="276"/>
      <c r="M13" s="276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>
        <f t="shared" si="7"/>
        <v>0</v>
      </c>
      <c r="AC13" s="275">
        <f t="shared" si="3"/>
        <v>0</v>
      </c>
    </row>
    <row r="14" spans="1:29" x14ac:dyDescent="0.25">
      <c r="A14" s="269">
        <v>11</v>
      </c>
      <c r="B14" s="270" t="s">
        <v>145</v>
      </c>
      <c r="C14" s="270"/>
      <c r="D14" s="270"/>
      <c r="E14" s="270"/>
      <c r="F14" s="271">
        <v>-271800</v>
      </c>
      <c r="H14" s="276"/>
      <c r="I14" s="273"/>
      <c r="J14" s="274"/>
      <c r="K14" s="275"/>
      <c r="L14" s="276"/>
      <c r="M14" s="276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>
        <f t="shared" si="7"/>
        <v>0</v>
      </c>
      <c r="AC14" s="275">
        <f t="shared" si="3"/>
        <v>0</v>
      </c>
    </row>
    <row r="15" spans="1:29" s="284" customFormat="1" x14ac:dyDescent="0.25">
      <c r="A15" s="282">
        <v>12</v>
      </c>
      <c r="B15" s="137" t="s">
        <v>40</v>
      </c>
      <c r="C15" s="137"/>
      <c r="D15" s="131"/>
      <c r="E15" s="131"/>
      <c r="F15" s="283">
        <f>SUM(F12:F14)</f>
        <v>57281800</v>
      </c>
      <c r="H15" s="285"/>
      <c r="I15" s="285" t="s">
        <v>40</v>
      </c>
      <c r="J15" s="286">
        <f>SUM(J4:J14)</f>
        <v>0.99999999999999989</v>
      </c>
      <c r="K15" s="287">
        <f>SUM(K4:K14)</f>
        <v>60677800</v>
      </c>
      <c r="L15" s="288"/>
      <c r="M15" s="288"/>
      <c r="N15" s="287">
        <f>SUM(N4:N14)</f>
        <v>8592270</v>
      </c>
      <c r="O15" s="287" t="e">
        <f t="shared" ref="O15:AA15" si="14">SUM(O4:O14)</f>
        <v>#REF!</v>
      </c>
      <c r="P15" s="287">
        <f t="shared" si="14"/>
        <v>15345794.219999999</v>
      </c>
      <c r="Q15" s="287">
        <f t="shared" si="14"/>
        <v>42884</v>
      </c>
      <c r="R15" s="287">
        <f>SUM(R4:R14)</f>
        <v>270</v>
      </c>
      <c r="S15" s="287">
        <f t="shared" si="14"/>
        <v>3276518.96</v>
      </c>
      <c r="T15" s="287">
        <f t="shared" si="14"/>
        <v>1151364.1800000002</v>
      </c>
      <c r="U15" s="287">
        <f t="shared" si="14"/>
        <v>1570650</v>
      </c>
      <c r="V15" s="287">
        <f t="shared" si="14"/>
        <v>1825350</v>
      </c>
      <c r="W15" s="287">
        <f t="shared" si="14"/>
        <v>2520399.2000000002</v>
      </c>
      <c r="X15" s="287">
        <f t="shared" si="14"/>
        <v>2205349.2999999998</v>
      </c>
      <c r="Y15" s="287">
        <f t="shared" si="14"/>
        <v>2646419.16</v>
      </c>
      <c r="Z15" s="287">
        <f t="shared" si="14"/>
        <v>1151364.1800000002</v>
      </c>
      <c r="AA15" s="287">
        <f t="shared" si="14"/>
        <v>1260199.6000000001</v>
      </c>
      <c r="AB15" s="287" t="e">
        <f>SUM(AB4:AB14)</f>
        <v>#REF!</v>
      </c>
      <c r="AC15" s="287" t="e">
        <f>SUM(AC4:AC14)</f>
        <v>#REF!</v>
      </c>
    </row>
    <row r="16" spans="1:29" x14ac:dyDescent="0.25">
      <c r="A16" s="289"/>
      <c r="B16" s="290"/>
      <c r="C16" s="93"/>
      <c r="D16" s="290"/>
      <c r="H16" s="291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</row>
    <row r="17" spans="1:29" x14ac:dyDescent="0.25">
      <c r="A17" s="289"/>
      <c r="B17" s="290"/>
      <c r="C17" t="s">
        <v>302</v>
      </c>
      <c r="D17" s="290"/>
      <c r="H17" s="293"/>
      <c r="I17" s="294"/>
      <c r="J17" s="295" t="s">
        <v>208</v>
      </c>
      <c r="K17" s="296" t="s">
        <v>209</v>
      </c>
      <c r="L17" s="270"/>
      <c r="M17" s="271"/>
      <c r="N17" s="297">
        <f>+N15</f>
        <v>8592270</v>
      </c>
      <c r="O17" s="297" t="e">
        <f>+O15</f>
        <v>#REF!</v>
      </c>
      <c r="P17" s="297">
        <f>+P15</f>
        <v>15345794.219999999</v>
      </c>
      <c r="Q17" s="297">
        <f t="shared" ref="Q17:AA17" si="15">+Q15</f>
        <v>42884</v>
      </c>
      <c r="R17" s="297">
        <f>+R15</f>
        <v>270</v>
      </c>
      <c r="S17" s="297">
        <f t="shared" si="15"/>
        <v>3276518.96</v>
      </c>
      <c r="T17" s="297">
        <f t="shared" si="15"/>
        <v>1151364.1800000002</v>
      </c>
      <c r="U17" s="297">
        <f t="shared" si="15"/>
        <v>1570650</v>
      </c>
      <c r="V17" s="297">
        <f t="shared" si="15"/>
        <v>1825350</v>
      </c>
      <c r="W17" s="297">
        <f t="shared" si="15"/>
        <v>2520399.2000000002</v>
      </c>
      <c r="X17" s="297">
        <f t="shared" si="15"/>
        <v>2205349.2999999998</v>
      </c>
      <c r="Y17" s="297">
        <f t="shared" si="15"/>
        <v>2646419.16</v>
      </c>
      <c r="Z17" s="297">
        <f t="shared" si="15"/>
        <v>1151364.1800000002</v>
      </c>
      <c r="AA17" s="297">
        <f t="shared" si="15"/>
        <v>1260199.6000000001</v>
      </c>
      <c r="AB17" s="297" t="e">
        <f>SUM(N17:AA17)</f>
        <v>#REF!</v>
      </c>
      <c r="AC17" s="297"/>
    </row>
    <row r="18" spans="1:29" x14ac:dyDescent="0.25">
      <c r="B18" s="93"/>
      <c r="C18" s="93"/>
      <c r="D18" s="93"/>
      <c r="H18" s="298"/>
      <c r="I18" s="116"/>
      <c r="J18" s="276"/>
      <c r="K18" s="299" t="s">
        <v>210</v>
      </c>
      <c r="L18" s="270"/>
      <c r="M18" s="271"/>
      <c r="N18" s="275">
        <f>+N17*15%</f>
        <v>1288840.5</v>
      </c>
      <c r="O18" s="275" t="e">
        <f>+O17*15%</f>
        <v>#REF!</v>
      </c>
      <c r="P18" s="275">
        <f>+P17*15%</f>
        <v>2301869.1329999999</v>
      </c>
      <c r="Q18" s="275">
        <f>+Q17*15%</f>
        <v>6432.5999999999995</v>
      </c>
      <c r="R18" s="275">
        <v>0</v>
      </c>
      <c r="S18" s="275">
        <f t="shared" ref="S18:AA18" si="16">+S17*18%</f>
        <v>589773.41279999993</v>
      </c>
      <c r="T18" s="275">
        <f t="shared" si="16"/>
        <v>207245.55240000002</v>
      </c>
      <c r="U18" s="275">
        <f t="shared" si="16"/>
        <v>282717</v>
      </c>
      <c r="V18" s="275">
        <f t="shared" si="16"/>
        <v>328563</v>
      </c>
      <c r="W18" s="275">
        <f t="shared" si="16"/>
        <v>453671.85600000003</v>
      </c>
      <c r="X18" s="275">
        <f t="shared" si="16"/>
        <v>396962.87399999995</v>
      </c>
      <c r="Y18" s="275">
        <f t="shared" si="16"/>
        <v>476355.44880000001</v>
      </c>
      <c r="Z18" s="275">
        <f t="shared" si="16"/>
        <v>207245.55240000002</v>
      </c>
      <c r="AA18" s="275">
        <f t="shared" si="16"/>
        <v>226835.92800000001</v>
      </c>
      <c r="AB18" s="297" t="e">
        <f>SUM(N18:AA18)</f>
        <v>#REF!</v>
      </c>
      <c r="AC18" s="297"/>
    </row>
    <row r="19" spans="1:29" x14ac:dyDescent="0.25">
      <c r="A19" s="300" t="s">
        <v>114</v>
      </c>
      <c r="B19" s="301" t="s">
        <v>115</v>
      </c>
      <c r="C19" s="300" t="s">
        <v>116</v>
      </c>
      <c r="D19" s="300" t="s">
        <v>117</v>
      </c>
      <c r="E19" s="300" t="s">
        <v>118</v>
      </c>
      <c r="F19" s="300" t="s">
        <v>119</v>
      </c>
      <c r="H19" s="298"/>
      <c r="I19" s="116"/>
      <c r="J19" s="276"/>
      <c r="K19" s="299" t="s">
        <v>211</v>
      </c>
      <c r="L19" s="270"/>
      <c r="M19" s="271"/>
      <c r="N19" s="297">
        <f t="shared" ref="N19:AA19" si="17">+N18+N15</f>
        <v>9881110.5</v>
      </c>
      <c r="O19" s="297" t="e">
        <f t="shared" si="17"/>
        <v>#REF!</v>
      </c>
      <c r="P19" s="297">
        <f t="shared" si="17"/>
        <v>17647663.353</v>
      </c>
      <c r="Q19" s="297">
        <f t="shared" si="17"/>
        <v>49316.6</v>
      </c>
      <c r="R19" s="297">
        <f>+R18+R15</f>
        <v>270</v>
      </c>
      <c r="S19" s="297">
        <f t="shared" si="17"/>
        <v>3866292.3728</v>
      </c>
      <c r="T19" s="297">
        <f t="shared" si="17"/>
        <v>1358609.7324000001</v>
      </c>
      <c r="U19" s="297">
        <f t="shared" si="17"/>
        <v>1853367</v>
      </c>
      <c r="V19" s="297">
        <f t="shared" si="17"/>
        <v>2153913</v>
      </c>
      <c r="W19" s="297">
        <f t="shared" si="17"/>
        <v>2974071.0560000003</v>
      </c>
      <c r="X19" s="297">
        <f t="shared" si="17"/>
        <v>2602312.1739999996</v>
      </c>
      <c r="Y19" s="297">
        <f t="shared" si="17"/>
        <v>3122774.6088</v>
      </c>
      <c r="Z19" s="297">
        <f t="shared" si="17"/>
        <v>1358609.7324000001</v>
      </c>
      <c r="AA19" s="297">
        <f t="shared" si="17"/>
        <v>1487035.5280000002</v>
      </c>
      <c r="AB19" s="297" t="e">
        <f>SUM(N19:AA19)</f>
        <v>#REF!</v>
      </c>
      <c r="AC19" s="297"/>
    </row>
    <row r="20" spans="1:29" x14ac:dyDescent="0.25">
      <c r="A20" s="272"/>
      <c r="B20" s="276" t="s">
        <v>120</v>
      </c>
      <c r="C20" s="272"/>
      <c r="E20" s="283"/>
      <c r="F20" s="283"/>
      <c r="H20" s="298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</row>
    <row r="21" spans="1:29" x14ac:dyDescent="0.25">
      <c r="A21" s="272">
        <v>23</v>
      </c>
      <c r="B21" s="276" t="s">
        <v>121</v>
      </c>
      <c r="C21" s="302">
        <v>0.13900000000000001</v>
      </c>
      <c r="D21" s="275">
        <f>+F$15/C$26*C21</f>
        <v>7962170.2000000011</v>
      </c>
      <c r="E21" s="275"/>
      <c r="F21" s="283">
        <f t="shared" ref="F21:F25" si="18">+D21+E21</f>
        <v>7962170.2000000011</v>
      </c>
      <c r="H21" s="293"/>
      <c r="I21" s="294"/>
      <c r="J21" s="295" t="s">
        <v>212</v>
      </c>
      <c r="K21" s="296" t="s">
        <v>213</v>
      </c>
      <c r="L21" s="270"/>
      <c r="M21" s="271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</row>
    <row r="22" spans="1:29" x14ac:dyDescent="0.25">
      <c r="A22" s="272">
        <v>230</v>
      </c>
      <c r="B22" s="276" t="s">
        <v>122</v>
      </c>
      <c r="C22" s="302">
        <v>0.22</v>
      </c>
      <c r="D22" s="275">
        <f>+F$15/C$26*C22</f>
        <v>12601996</v>
      </c>
      <c r="E22" s="275"/>
      <c r="F22" s="283">
        <f t="shared" si="18"/>
        <v>12601996</v>
      </c>
      <c r="H22" s="298"/>
      <c r="I22" s="116"/>
      <c r="J22" s="276"/>
      <c r="K22" s="299" t="s">
        <v>214</v>
      </c>
      <c r="L22" s="270"/>
      <c r="M22" s="271"/>
      <c r="N22" s="297">
        <f>+N15</f>
        <v>8592270</v>
      </c>
      <c r="O22" s="297" t="e">
        <f>+O15</f>
        <v>#REF!</v>
      </c>
      <c r="P22" s="297">
        <f>+P15</f>
        <v>15345794.219999999</v>
      </c>
      <c r="Q22" s="297">
        <f t="shared" ref="Q22:AA22" si="19">+Q15</f>
        <v>42884</v>
      </c>
      <c r="R22" s="297">
        <f>+R15</f>
        <v>270</v>
      </c>
      <c r="S22" s="297">
        <f t="shared" si="19"/>
        <v>3276518.96</v>
      </c>
      <c r="T22" s="297">
        <f t="shared" si="19"/>
        <v>1151364.1800000002</v>
      </c>
      <c r="U22" s="297">
        <f t="shared" si="19"/>
        <v>1570650</v>
      </c>
      <c r="V22" s="297">
        <f t="shared" si="19"/>
        <v>1825350</v>
      </c>
      <c r="W22" s="297">
        <f t="shared" si="19"/>
        <v>2520399.2000000002</v>
      </c>
      <c r="X22" s="297">
        <f t="shared" si="19"/>
        <v>2205349.2999999998</v>
      </c>
      <c r="Y22" s="297">
        <f t="shared" si="19"/>
        <v>2646419.16</v>
      </c>
      <c r="Z22" s="297">
        <f t="shared" si="19"/>
        <v>1151364.1800000002</v>
      </c>
      <c r="AA22" s="297">
        <f t="shared" si="19"/>
        <v>1260199.6000000001</v>
      </c>
      <c r="AB22" s="297" t="e">
        <f>SUM(N22:AA22)</f>
        <v>#REF!</v>
      </c>
      <c r="AC22" s="297"/>
    </row>
    <row r="23" spans="1:29" x14ac:dyDescent="0.25">
      <c r="A23" s="272"/>
      <c r="B23" s="276" t="s">
        <v>123</v>
      </c>
      <c r="C23" s="302">
        <v>0.154</v>
      </c>
      <c r="D23" s="275">
        <f>+F$15/C$26*C23</f>
        <v>8821397.1999999993</v>
      </c>
      <c r="E23" s="275"/>
      <c r="F23" s="283">
        <f t="shared" si="18"/>
        <v>8821397.1999999993</v>
      </c>
      <c r="H23" s="298"/>
      <c r="I23" s="116"/>
      <c r="J23" s="276"/>
      <c r="K23" s="299" t="s">
        <v>191</v>
      </c>
      <c r="L23" s="270"/>
      <c r="M23" s="271"/>
      <c r="N23" s="297">
        <f t="shared" ref="N23:AA23" si="20">+N22*10%</f>
        <v>859227</v>
      </c>
      <c r="O23" s="297" t="e">
        <f t="shared" si="20"/>
        <v>#REF!</v>
      </c>
      <c r="P23" s="297">
        <f t="shared" si="20"/>
        <v>1534579.422</v>
      </c>
      <c r="Q23" s="297">
        <f t="shared" si="20"/>
        <v>4288.4000000000005</v>
      </c>
      <c r="R23" s="297">
        <f>+R22*10%</f>
        <v>27</v>
      </c>
      <c r="S23" s="297">
        <f t="shared" si="20"/>
        <v>327651.89600000001</v>
      </c>
      <c r="T23" s="297">
        <f t="shared" si="20"/>
        <v>115136.41800000002</v>
      </c>
      <c r="U23" s="297">
        <f t="shared" si="20"/>
        <v>157065</v>
      </c>
      <c r="V23" s="297">
        <f t="shared" si="20"/>
        <v>182535</v>
      </c>
      <c r="W23" s="297">
        <f t="shared" si="20"/>
        <v>252039.92000000004</v>
      </c>
      <c r="X23" s="297">
        <f t="shared" si="20"/>
        <v>220534.93</v>
      </c>
      <c r="Y23" s="297">
        <f t="shared" si="20"/>
        <v>264641.91600000003</v>
      </c>
      <c r="Z23" s="297">
        <f t="shared" si="20"/>
        <v>115136.41800000002</v>
      </c>
      <c r="AA23" s="297">
        <f t="shared" si="20"/>
        <v>126019.96000000002</v>
      </c>
      <c r="AB23" s="297" t="e">
        <f>SUM(N23:AA23)</f>
        <v>#REF!</v>
      </c>
      <c r="AC23" s="297"/>
    </row>
    <row r="24" spans="1:29" x14ac:dyDescent="0.25">
      <c r="A24" s="272"/>
      <c r="B24" s="276" t="s">
        <v>124</v>
      </c>
      <c r="C24" s="302">
        <v>0.20100000000000001</v>
      </c>
      <c r="D24" s="275">
        <f>+F$15/C$26*C24</f>
        <v>11513641.800000001</v>
      </c>
      <c r="E24" s="275">
        <v>1570650</v>
      </c>
      <c r="F24" s="283">
        <f t="shared" si="18"/>
        <v>13084291.800000001</v>
      </c>
      <c r="H24" s="298"/>
      <c r="I24" s="116"/>
      <c r="J24" s="276"/>
      <c r="K24" s="299" t="s">
        <v>215</v>
      </c>
      <c r="L24" s="270"/>
      <c r="M24" s="271"/>
      <c r="N24" s="297">
        <f>+N19-N23</f>
        <v>9021883.5</v>
      </c>
      <c r="O24" s="297" t="e">
        <f>+O19-O23</f>
        <v>#REF!</v>
      </c>
      <c r="P24" s="297">
        <f>+P19-P23</f>
        <v>16113083.931</v>
      </c>
      <c r="Q24" s="297">
        <f t="shared" ref="Q24:AA24" si="21">+Q19-Q23</f>
        <v>45028.2</v>
      </c>
      <c r="R24" s="297">
        <f>+R19-R23</f>
        <v>243</v>
      </c>
      <c r="S24" s="297">
        <f t="shared" si="21"/>
        <v>3538640.4767999998</v>
      </c>
      <c r="T24" s="297">
        <f t="shared" si="21"/>
        <v>1243473.3144</v>
      </c>
      <c r="U24" s="297">
        <f t="shared" si="21"/>
        <v>1696302</v>
      </c>
      <c r="V24" s="297">
        <f t="shared" si="21"/>
        <v>1971378</v>
      </c>
      <c r="W24" s="297">
        <f t="shared" si="21"/>
        <v>2722031.1360000004</v>
      </c>
      <c r="X24" s="297">
        <f t="shared" si="21"/>
        <v>2381777.2439999995</v>
      </c>
      <c r="Y24" s="297">
        <f t="shared" si="21"/>
        <v>2858132.6927999998</v>
      </c>
      <c r="Z24" s="297">
        <f t="shared" si="21"/>
        <v>1243473.3144</v>
      </c>
      <c r="AA24" s="297">
        <f t="shared" si="21"/>
        <v>1361015.5680000002</v>
      </c>
      <c r="AB24" s="297" t="e">
        <f>+AB19-AB23</f>
        <v>#REF!</v>
      </c>
      <c r="AC24" s="297"/>
    </row>
    <row r="25" spans="1:29" x14ac:dyDescent="0.25">
      <c r="A25" s="272"/>
      <c r="B25" s="276" t="s">
        <v>125</v>
      </c>
      <c r="C25" s="302">
        <v>0.28599999999999998</v>
      </c>
      <c r="D25" s="275">
        <f>+F$15/C$26*C25</f>
        <v>16382594.799999999</v>
      </c>
      <c r="E25" s="275">
        <v>1825350</v>
      </c>
      <c r="F25" s="283">
        <f t="shared" si="18"/>
        <v>18207944.799999997</v>
      </c>
      <c r="H25" s="298"/>
      <c r="I25" s="116"/>
      <c r="J25" s="276"/>
      <c r="K25" s="299"/>
      <c r="L25" s="270"/>
      <c r="M25" s="271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</row>
    <row r="26" spans="1:29" x14ac:dyDescent="0.25">
      <c r="A26" s="303">
        <f>SUM(A21:A25)</f>
        <v>253</v>
      </c>
      <c r="B26" s="304" t="s">
        <v>119</v>
      </c>
      <c r="C26" s="305">
        <f>SUM(C21:C25)</f>
        <v>1</v>
      </c>
      <c r="D26" s="306">
        <f>SUM(D21:D25)</f>
        <v>57281800</v>
      </c>
      <c r="E26" s="306">
        <f>SUM(E21:E25)</f>
        <v>3396000</v>
      </c>
      <c r="F26" s="306">
        <f>SUM(F21:F25)</f>
        <v>60677800</v>
      </c>
      <c r="H26" s="293"/>
      <c r="I26" s="294"/>
      <c r="J26" s="295" t="s">
        <v>216</v>
      </c>
      <c r="K26" s="296" t="s">
        <v>217</v>
      </c>
      <c r="L26" s="270"/>
      <c r="M26" s="271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</row>
    <row r="27" spans="1:29" x14ac:dyDescent="0.25">
      <c r="A27" s="307"/>
      <c r="B27" s="308" t="s">
        <v>218</v>
      </c>
      <c r="C27" s="309">
        <v>42614</v>
      </c>
      <c r="D27" s="310"/>
      <c r="E27" s="310"/>
      <c r="F27" s="311"/>
      <c r="H27" s="293"/>
      <c r="I27" s="116"/>
      <c r="J27" s="295"/>
      <c r="K27" s="299" t="s">
        <v>219</v>
      </c>
      <c r="L27" s="270"/>
      <c r="M27" s="312"/>
      <c r="N27" s="297">
        <f>+N18</f>
        <v>1288840.5</v>
      </c>
      <c r="O27" s="297" t="e">
        <f>+O18</f>
        <v>#REF!</v>
      </c>
      <c r="P27" s="297">
        <f>+P18</f>
        <v>2301869.1329999999</v>
      </c>
      <c r="Q27" s="297">
        <f t="shared" ref="Q27:T27" si="22">+Q18</f>
        <v>6432.5999999999995</v>
      </c>
      <c r="R27" s="297" t="e">
        <f>-SUM(N27:P27)</f>
        <v>#REF!</v>
      </c>
      <c r="S27" s="297">
        <f t="shared" si="22"/>
        <v>589773.41279999993</v>
      </c>
      <c r="T27" s="297">
        <f t="shared" si="22"/>
        <v>207245.55240000002</v>
      </c>
      <c r="U27" s="297"/>
      <c r="V27" s="297"/>
      <c r="W27" s="297">
        <f t="shared" ref="W27" si="23">+W18</f>
        <v>453671.85600000003</v>
      </c>
      <c r="X27" s="297"/>
      <c r="Y27" s="297"/>
      <c r="Z27" s="297"/>
      <c r="AA27" s="297"/>
      <c r="AB27" s="297" t="e">
        <f t="shared" ref="AB27:AB32" si="24">SUM(N27:AA27)</f>
        <v>#REF!</v>
      </c>
      <c r="AC27" s="297"/>
    </row>
    <row r="28" spans="1:29" x14ac:dyDescent="0.25">
      <c r="C28" s="110"/>
      <c r="D28" s="313"/>
      <c r="H28" s="293"/>
      <c r="I28" s="116"/>
      <c r="J28" s="295"/>
      <c r="K28" s="299" t="s">
        <v>194</v>
      </c>
      <c r="L28" s="270"/>
      <c r="M28" s="312"/>
      <c r="N28" s="297"/>
      <c r="O28" s="297"/>
      <c r="P28" s="297"/>
      <c r="Q28" s="297"/>
      <c r="R28" s="297"/>
      <c r="S28" s="297"/>
      <c r="T28" s="297"/>
      <c r="U28" s="297"/>
      <c r="V28" s="297"/>
      <c r="W28" s="297">
        <v>50408</v>
      </c>
      <c r="X28" s="297"/>
      <c r="Y28" s="297"/>
      <c r="Z28" s="297"/>
      <c r="AA28" s="297"/>
      <c r="AB28" s="297">
        <f t="shared" si="24"/>
        <v>50408</v>
      </c>
      <c r="AC28" s="297"/>
    </row>
    <row r="29" spans="1:29" x14ac:dyDescent="0.25">
      <c r="C29" s="110"/>
      <c r="D29" s="313"/>
      <c r="H29" s="293"/>
      <c r="I29" s="116"/>
      <c r="J29" s="295"/>
      <c r="K29" s="299" t="s">
        <v>195</v>
      </c>
      <c r="L29" s="270"/>
      <c r="M29" s="312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>
        <f t="shared" si="24"/>
        <v>0</v>
      </c>
      <c r="AC29" s="297"/>
    </row>
    <row r="30" spans="1:29" x14ac:dyDescent="0.25">
      <c r="D30" s="110"/>
      <c r="E30" s="313"/>
      <c r="F30" s="313"/>
      <c r="H30" s="293"/>
      <c r="I30" s="116"/>
      <c r="J30" s="295"/>
      <c r="K30" s="299" t="s">
        <v>196</v>
      </c>
      <c r="L30" s="270"/>
      <c r="M30" s="271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>
        <f t="shared" si="24"/>
        <v>0</v>
      </c>
      <c r="AC30" s="297"/>
    </row>
    <row r="31" spans="1:29" x14ac:dyDescent="0.25">
      <c r="H31" s="293"/>
      <c r="I31" s="116"/>
      <c r="J31" s="276"/>
      <c r="K31" s="299" t="s">
        <v>197</v>
      </c>
      <c r="L31" s="270"/>
      <c r="M31" s="271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>
        <f t="shared" si="24"/>
        <v>0</v>
      </c>
      <c r="AC31" s="297"/>
    </row>
    <row r="32" spans="1:29" x14ac:dyDescent="0.25">
      <c r="H32" s="293"/>
      <c r="I32" s="116"/>
      <c r="J32" s="276"/>
      <c r="K32" s="299" t="s">
        <v>198</v>
      </c>
      <c r="L32" s="270"/>
      <c r="M32" s="271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>
        <f t="shared" si="24"/>
        <v>0</v>
      </c>
      <c r="AC32" s="297"/>
    </row>
    <row r="33" spans="2:29" x14ac:dyDescent="0.25">
      <c r="H33" s="293"/>
      <c r="I33" s="116"/>
      <c r="J33" s="276"/>
      <c r="K33" s="299"/>
      <c r="L33" s="270"/>
      <c r="M33" s="271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2:29" x14ac:dyDescent="0.25">
      <c r="H34" s="293"/>
      <c r="I34" s="116"/>
      <c r="J34" s="295" t="s">
        <v>220</v>
      </c>
      <c r="K34" s="314" t="s">
        <v>119</v>
      </c>
      <c r="L34" s="270"/>
      <c r="M34" s="271"/>
      <c r="N34" s="297">
        <f t="shared" ref="N34:V34" si="25">+N24-SUM(N27:N33)</f>
        <v>7733043</v>
      </c>
      <c r="O34" s="297" t="e">
        <f t="shared" si="25"/>
        <v>#REF!</v>
      </c>
      <c r="P34" s="297">
        <f t="shared" si="25"/>
        <v>13811214.798</v>
      </c>
      <c r="Q34" s="297">
        <f t="shared" si="25"/>
        <v>38595.599999999999</v>
      </c>
      <c r="R34" s="297" t="e">
        <f t="shared" si="25"/>
        <v>#REF!</v>
      </c>
      <c r="S34" s="297">
        <f t="shared" si="25"/>
        <v>2948867.0639999998</v>
      </c>
      <c r="T34" s="297">
        <f t="shared" si="25"/>
        <v>1036227.762</v>
      </c>
      <c r="U34" s="297">
        <f t="shared" si="25"/>
        <v>1696302</v>
      </c>
      <c r="V34" s="297">
        <f t="shared" si="25"/>
        <v>1971378</v>
      </c>
      <c r="W34" s="297">
        <f t="shared" ref="W34" si="26">+W24-SUM(W27:W33)</f>
        <v>2217951.2800000003</v>
      </c>
      <c r="X34" s="297">
        <f t="shared" ref="X34:AA34" si="27">+X24-SUM(X27:X33)</f>
        <v>2381777.2439999995</v>
      </c>
      <c r="Y34" s="297">
        <f t="shared" si="27"/>
        <v>2858132.6927999998</v>
      </c>
      <c r="Z34" s="297">
        <f t="shared" si="27"/>
        <v>1243473.3144</v>
      </c>
      <c r="AA34" s="297">
        <f t="shared" si="27"/>
        <v>1361015.5680000002</v>
      </c>
      <c r="AB34" s="297" t="e">
        <f>SUM(N34:AA34)</f>
        <v>#REF!</v>
      </c>
      <c r="AC34" s="297"/>
    </row>
    <row r="35" spans="2:29" ht="30" x14ac:dyDescent="0.25">
      <c r="H35" s="293"/>
      <c r="I35" s="116"/>
      <c r="J35" s="276"/>
      <c r="K35" s="299"/>
      <c r="L35" s="270"/>
      <c r="M35" s="271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76"/>
      <c r="AB35" s="297"/>
      <c r="AC35" s="315" t="s">
        <v>221</v>
      </c>
    </row>
    <row r="36" spans="2:29" s="316" customFormat="1" ht="27" customHeight="1" x14ac:dyDescent="0.25">
      <c r="H36" s="317"/>
      <c r="I36" s="193"/>
      <c r="J36" s="318" t="s">
        <v>222</v>
      </c>
      <c r="K36" s="319" t="s">
        <v>41</v>
      </c>
      <c r="L36" s="320"/>
      <c r="M36" s="321"/>
      <c r="N36" s="322"/>
      <c r="O36" s="322">
        <v>13824103</v>
      </c>
      <c r="P36" s="322">
        <v>16401784</v>
      </c>
      <c r="Q36" s="322">
        <v>2072455</v>
      </c>
      <c r="R36" s="322">
        <f>2304016+2733631</f>
        <v>5037647</v>
      </c>
      <c r="S36" s="322"/>
      <c r="T36" s="322">
        <v>3985095.2</v>
      </c>
      <c r="U36" s="322"/>
      <c r="V36" s="322">
        <v>3056400</v>
      </c>
      <c r="W36" s="322">
        <v>2217951</v>
      </c>
      <c r="X36" s="322"/>
      <c r="Y36" s="322"/>
      <c r="Z36" s="322"/>
      <c r="AA36" s="323"/>
      <c r="AB36" s="322">
        <f>SUM(N36:AA36)</f>
        <v>46595435.200000003</v>
      </c>
      <c r="AC36" s="324" t="e">
        <f>+AB24-AB36</f>
        <v>#REF!</v>
      </c>
    </row>
    <row r="37" spans="2:29" x14ac:dyDescent="0.25">
      <c r="H37" s="293"/>
      <c r="I37" s="116"/>
      <c r="J37" s="116"/>
      <c r="K37" s="116"/>
      <c r="L37" s="116"/>
      <c r="M37" s="116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116"/>
      <c r="AB37" s="325"/>
      <c r="AC37" s="325"/>
    </row>
    <row r="38" spans="2:29" x14ac:dyDescent="0.25">
      <c r="D38" s="110"/>
      <c r="E38" s="313"/>
      <c r="F38" s="313"/>
      <c r="H38" s="326"/>
      <c r="I38" s="327"/>
      <c r="J38" s="327"/>
      <c r="K38" s="327"/>
      <c r="L38" s="327"/>
      <c r="M38" s="327"/>
      <c r="N38" s="328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</row>
    <row r="39" spans="2:29" x14ac:dyDescent="0.25">
      <c r="D39" s="110"/>
      <c r="E39" s="313"/>
      <c r="F39" s="313"/>
    </row>
    <row r="40" spans="2:29" x14ac:dyDescent="0.25">
      <c r="E40" s="313"/>
      <c r="F40" s="313"/>
    </row>
    <row r="41" spans="2:29" ht="45" x14ac:dyDescent="0.25">
      <c r="B41" s="284"/>
      <c r="C41" s="284"/>
      <c r="D41" s="329"/>
      <c r="I41" s="345" t="s">
        <v>91</v>
      </c>
      <c r="J41" s="345" t="s">
        <v>88</v>
      </c>
      <c r="K41" s="345" t="s">
        <v>46</v>
      </c>
      <c r="L41" s="345" t="s">
        <v>84</v>
      </c>
      <c r="M41" s="345" t="s">
        <v>85</v>
      </c>
      <c r="N41" s="109" t="s">
        <v>55</v>
      </c>
      <c r="O41" s="109" t="s">
        <v>55</v>
      </c>
      <c r="P41" s="109" t="s">
        <v>55</v>
      </c>
      <c r="Q41" s="109" t="s">
        <v>55</v>
      </c>
      <c r="R41" s="109" t="s">
        <v>55</v>
      </c>
      <c r="S41" s="109" t="s">
        <v>55</v>
      </c>
      <c r="T41" s="109" t="s">
        <v>55</v>
      </c>
      <c r="U41" s="109" t="s">
        <v>55</v>
      </c>
      <c r="V41" s="109" t="s">
        <v>55</v>
      </c>
      <c r="W41" s="109" t="s">
        <v>55</v>
      </c>
      <c r="X41" s="109" t="s">
        <v>55</v>
      </c>
      <c r="Y41" s="109" t="s">
        <v>55</v>
      </c>
      <c r="Z41" s="109" t="s">
        <v>55</v>
      </c>
      <c r="AA41" s="109" t="s">
        <v>55</v>
      </c>
      <c r="AB41" s="109" t="s">
        <v>231</v>
      </c>
    </row>
    <row r="42" spans="2:29" ht="36" x14ac:dyDescent="0.55000000000000004">
      <c r="H42" s="330" t="s">
        <v>223</v>
      </c>
    </row>
    <row r="43" spans="2:29" ht="26.25" x14ac:dyDescent="0.4">
      <c r="H43" s="331" t="s">
        <v>224</v>
      </c>
      <c r="I43" s="332"/>
      <c r="J43" s="333">
        <f>SUM(J44:J52)</f>
        <v>0.99999999999999989</v>
      </c>
      <c r="K43" s="334">
        <f>+D21</f>
        <v>7962170.2000000011</v>
      </c>
      <c r="L43" s="335" t="s">
        <v>225</v>
      </c>
      <c r="M43" s="332"/>
      <c r="N43" s="336">
        <v>42709</v>
      </c>
      <c r="O43" s="336">
        <v>42731</v>
      </c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7" t="s">
        <v>119</v>
      </c>
      <c r="AC43" s="337" t="s">
        <v>207</v>
      </c>
    </row>
    <row r="44" spans="2:29" x14ac:dyDescent="0.25">
      <c r="H44" s="272"/>
      <c r="I44" s="276" t="s">
        <v>126</v>
      </c>
      <c r="J44" s="274">
        <v>0</v>
      </c>
      <c r="K44" s="275">
        <f>+K$43*J44</f>
        <v>0</v>
      </c>
      <c r="L44" s="276">
        <f t="shared" ref="L44:M45" si="28">L4</f>
        <v>7</v>
      </c>
      <c r="M44" s="277">
        <f t="shared" si="28"/>
        <v>42621</v>
      </c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5">
        <f t="shared" ref="AB44:AB52" si="29">SUM(N44:AA44)</f>
        <v>0</v>
      </c>
      <c r="AC44" s="275">
        <f t="shared" ref="AC44:AC52" si="30">+K44-AB44</f>
        <v>0</v>
      </c>
    </row>
    <row r="45" spans="2:29" x14ac:dyDescent="0.25">
      <c r="H45" s="272" t="s">
        <v>127</v>
      </c>
      <c r="I45" s="276" t="s">
        <v>128</v>
      </c>
      <c r="J45" s="274">
        <v>0.15</v>
      </c>
      <c r="K45" s="275">
        <f t="shared" ref="K45:K51" si="31">+K$43*J45</f>
        <v>1194325.53</v>
      </c>
      <c r="L45" s="276">
        <f t="shared" si="28"/>
        <v>15</v>
      </c>
      <c r="M45" s="277">
        <f t="shared" si="28"/>
        <v>42629</v>
      </c>
      <c r="N45" s="297">
        <f>+K45</f>
        <v>1194325.53</v>
      </c>
      <c r="O45" s="297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5">
        <f t="shared" si="29"/>
        <v>1194325.53</v>
      </c>
      <c r="AC45" s="275">
        <f t="shared" si="30"/>
        <v>0</v>
      </c>
    </row>
    <row r="46" spans="2:29" x14ac:dyDescent="0.25">
      <c r="H46" s="272" t="s">
        <v>129</v>
      </c>
      <c r="I46" s="276" t="s">
        <v>130</v>
      </c>
      <c r="J46" s="274">
        <v>0.1</v>
      </c>
      <c r="K46" s="275">
        <f t="shared" si="31"/>
        <v>796217.02000000014</v>
      </c>
      <c r="L46" s="276">
        <f t="shared" ref="L46:M52" si="32">L6</f>
        <v>45</v>
      </c>
      <c r="M46" s="277">
        <f t="shared" si="32"/>
        <v>42659</v>
      </c>
      <c r="N46" s="297"/>
      <c r="O46" s="297">
        <f t="shared" ref="O46:O51" si="33">+K46</f>
        <v>796217.02000000014</v>
      </c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5">
        <f t="shared" si="29"/>
        <v>796217.02000000014</v>
      </c>
      <c r="AC46" s="275">
        <f t="shared" si="30"/>
        <v>0</v>
      </c>
    </row>
    <row r="47" spans="2:29" x14ac:dyDescent="0.25">
      <c r="H47" s="272" t="s">
        <v>131</v>
      </c>
      <c r="I47" s="276" t="s">
        <v>132</v>
      </c>
      <c r="J47" s="274">
        <v>0.1</v>
      </c>
      <c r="K47" s="275">
        <f t="shared" si="31"/>
        <v>796217.02000000014</v>
      </c>
      <c r="L47" s="276">
        <f t="shared" si="32"/>
        <v>60</v>
      </c>
      <c r="M47" s="277">
        <f t="shared" si="32"/>
        <v>42674</v>
      </c>
      <c r="N47" s="297"/>
      <c r="O47" s="297">
        <f t="shared" si="33"/>
        <v>796217.02000000014</v>
      </c>
      <c r="P47" s="297"/>
      <c r="Q47" s="276"/>
      <c r="R47" s="297"/>
      <c r="S47" s="276"/>
      <c r="T47" s="276"/>
      <c r="U47" s="276"/>
      <c r="V47" s="276"/>
      <c r="W47" s="276"/>
      <c r="X47" s="276"/>
      <c r="Y47" s="276"/>
      <c r="Z47" s="276"/>
      <c r="AA47" s="276"/>
      <c r="AB47" s="275">
        <f t="shared" si="29"/>
        <v>796217.02000000014</v>
      </c>
      <c r="AC47" s="275">
        <f t="shared" si="30"/>
        <v>0</v>
      </c>
    </row>
    <row r="48" spans="2:29" x14ac:dyDescent="0.25">
      <c r="H48" s="272" t="s">
        <v>133</v>
      </c>
      <c r="I48" s="276" t="s">
        <v>134</v>
      </c>
      <c r="J48" s="274">
        <v>0.1</v>
      </c>
      <c r="K48" s="275">
        <f t="shared" si="31"/>
        <v>796217.02000000014</v>
      </c>
      <c r="L48" s="276">
        <f t="shared" si="32"/>
        <v>150</v>
      </c>
      <c r="M48" s="277">
        <f t="shared" si="32"/>
        <v>42764</v>
      </c>
      <c r="N48" s="297"/>
      <c r="O48" s="297">
        <f t="shared" si="33"/>
        <v>796217.02000000014</v>
      </c>
      <c r="P48" s="297"/>
      <c r="Q48" s="276"/>
      <c r="R48" s="297"/>
      <c r="S48" s="276"/>
      <c r="T48" s="276"/>
      <c r="U48" s="276"/>
      <c r="V48" s="276"/>
      <c r="W48" s="276"/>
      <c r="X48" s="276"/>
      <c r="Y48" s="276"/>
      <c r="Z48" s="276"/>
      <c r="AA48" s="276"/>
      <c r="AB48" s="275">
        <f t="shared" si="29"/>
        <v>796217.02000000014</v>
      </c>
      <c r="AC48" s="275">
        <f t="shared" si="30"/>
        <v>0</v>
      </c>
    </row>
    <row r="49" spans="1:29" x14ac:dyDescent="0.25">
      <c r="H49" s="272" t="s">
        <v>135</v>
      </c>
      <c r="I49" s="276" t="s">
        <v>136</v>
      </c>
      <c r="J49" s="274">
        <v>0.25</v>
      </c>
      <c r="K49" s="275">
        <f t="shared" si="31"/>
        <v>1990542.5500000003</v>
      </c>
      <c r="L49" s="276">
        <f t="shared" si="32"/>
        <v>270</v>
      </c>
      <c r="M49" s="277">
        <f t="shared" si="32"/>
        <v>42884</v>
      </c>
      <c r="N49" s="297"/>
      <c r="O49" s="297">
        <f t="shared" si="33"/>
        <v>1990542.5500000003</v>
      </c>
      <c r="P49" s="297"/>
      <c r="Q49" s="276"/>
      <c r="R49" s="297"/>
      <c r="S49" s="276"/>
      <c r="T49" s="276"/>
      <c r="U49" s="276"/>
      <c r="V49" s="276"/>
      <c r="W49" s="276"/>
      <c r="X49" s="276"/>
      <c r="Y49" s="276"/>
      <c r="Z49" s="276"/>
      <c r="AA49" s="276"/>
      <c r="AB49" s="275">
        <f t="shared" si="29"/>
        <v>1990542.5500000003</v>
      </c>
      <c r="AC49" s="275">
        <f t="shared" si="30"/>
        <v>0</v>
      </c>
    </row>
    <row r="50" spans="1:29" x14ac:dyDescent="0.25">
      <c r="H50" s="272" t="s">
        <v>137</v>
      </c>
      <c r="I50" s="276" t="s">
        <v>138</v>
      </c>
      <c r="J50" s="274">
        <v>0.2</v>
      </c>
      <c r="K50" s="275">
        <f t="shared" si="31"/>
        <v>1592434.0400000003</v>
      </c>
      <c r="L50" s="276">
        <f t="shared" si="32"/>
        <v>270</v>
      </c>
      <c r="M50" s="277">
        <f t="shared" si="32"/>
        <v>42884</v>
      </c>
      <c r="N50" s="297"/>
      <c r="O50" s="297">
        <f t="shared" si="33"/>
        <v>1592434.0400000003</v>
      </c>
      <c r="P50" s="276"/>
      <c r="Q50" s="276"/>
      <c r="R50" s="276"/>
      <c r="S50" s="276"/>
      <c r="T50" s="276"/>
      <c r="U50" s="276"/>
      <c r="V50" s="276"/>
      <c r="W50" s="276"/>
      <c r="X50" s="297"/>
      <c r="Y50" s="297"/>
      <c r="Z50" s="297"/>
      <c r="AA50" s="276"/>
      <c r="AB50" s="275">
        <f t="shared" si="29"/>
        <v>1592434.0400000003</v>
      </c>
      <c r="AC50" s="275">
        <f t="shared" si="30"/>
        <v>0</v>
      </c>
    </row>
    <row r="51" spans="1:29" x14ac:dyDescent="0.25">
      <c r="H51" s="272" t="s">
        <v>139</v>
      </c>
      <c r="I51" s="338" t="s">
        <v>140</v>
      </c>
      <c r="J51" s="279">
        <v>0.1</v>
      </c>
      <c r="K51" s="275">
        <f t="shared" si="31"/>
        <v>796217.02000000014</v>
      </c>
      <c r="L51" s="276">
        <f t="shared" si="32"/>
        <v>300</v>
      </c>
      <c r="M51" s="277">
        <f t="shared" si="32"/>
        <v>42914</v>
      </c>
      <c r="N51" s="297"/>
      <c r="O51" s="297">
        <f t="shared" si="33"/>
        <v>796217.02000000014</v>
      </c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5">
        <f t="shared" si="29"/>
        <v>796217.02000000014</v>
      </c>
      <c r="AC51" s="275">
        <f t="shared" si="30"/>
        <v>0</v>
      </c>
    </row>
    <row r="52" spans="1:29" x14ac:dyDescent="0.25">
      <c r="H52" s="272" t="s">
        <v>141</v>
      </c>
      <c r="I52" s="338" t="s">
        <v>142</v>
      </c>
      <c r="J52" s="279">
        <v>0</v>
      </c>
      <c r="K52" s="275">
        <v>0</v>
      </c>
      <c r="L52" s="276">
        <f t="shared" si="32"/>
        <v>300</v>
      </c>
      <c r="M52" s="277">
        <f t="shared" si="32"/>
        <v>42914</v>
      </c>
      <c r="N52" s="297"/>
      <c r="O52" s="297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5">
        <f t="shared" si="29"/>
        <v>0</v>
      </c>
      <c r="AC52" s="275">
        <f t="shared" si="30"/>
        <v>0</v>
      </c>
    </row>
    <row r="53" spans="1:29" s="93" customFormat="1" x14ac:dyDescent="0.25">
      <c r="H53" s="339"/>
      <c r="I53" s="340" t="s">
        <v>226</v>
      </c>
      <c r="J53" s="341"/>
      <c r="K53" s="342"/>
      <c r="L53" s="340"/>
      <c r="M53" s="343"/>
      <c r="N53" s="344">
        <f t="shared" ref="N53:X53" si="34">SUM(N44:N52)</f>
        <v>1194325.53</v>
      </c>
      <c r="O53" s="344">
        <f t="shared" si="34"/>
        <v>6767844.6700000018</v>
      </c>
      <c r="P53" s="344">
        <f t="shared" si="34"/>
        <v>0</v>
      </c>
      <c r="Q53" s="344">
        <f t="shared" si="34"/>
        <v>0</v>
      </c>
      <c r="R53" s="344">
        <f t="shared" si="34"/>
        <v>0</v>
      </c>
      <c r="S53" s="344">
        <f t="shared" si="34"/>
        <v>0</v>
      </c>
      <c r="T53" s="344">
        <f t="shared" si="34"/>
        <v>0</v>
      </c>
      <c r="U53" s="344">
        <f t="shared" si="34"/>
        <v>0</v>
      </c>
      <c r="V53" s="344">
        <f t="shared" si="34"/>
        <v>0</v>
      </c>
      <c r="W53" s="344">
        <f t="shared" si="34"/>
        <v>0</v>
      </c>
      <c r="X53" s="344">
        <f t="shared" si="34"/>
        <v>0</v>
      </c>
      <c r="Y53" s="344"/>
      <c r="Z53" s="344"/>
      <c r="AA53" s="344">
        <f>SUM(AA44:AA52)</f>
        <v>0</v>
      </c>
      <c r="AB53" s="344">
        <f>SUM(AB44:AB52)</f>
        <v>7962170.2000000011</v>
      </c>
      <c r="AC53" s="344">
        <f>SUM(AC44:AC52)</f>
        <v>0</v>
      </c>
    </row>
    <row r="54" spans="1:29" x14ac:dyDescent="0.25">
      <c r="A54" s="289"/>
      <c r="B54" s="290"/>
      <c r="C54" t="s">
        <v>302</v>
      </c>
      <c r="D54" s="290"/>
      <c r="H54" s="293"/>
      <c r="I54" s="294"/>
      <c r="J54" s="295" t="s">
        <v>208</v>
      </c>
      <c r="K54" s="296" t="s">
        <v>209</v>
      </c>
      <c r="L54" s="270"/>
      <c r="M54" s="271"/>
      <c r="N54" s="297">
        <f>+N52</f>
        <v>0</v>
      </c>
      <c r="O54" s="297">
        <f>+O52</f>
        <v>0</v>
      </c>
      <c r="P54" s="297">
        <f>+P52</f>
        <v>0</v>
      </c>
      <c r="Q54" s="297">
        <f t="shared" ref="Q54" si="35">+Q52</f>
        <v>0</v>
      </c>
      <c r="R54" s="297">
        <f>+R52</f>
        <v>0</v>
      </c>
      <c r="S54" s="297">
        <f t="shared" ref="S54:AA54" si="36">+S52</f>
        <v>0</v>
      </c>
      <c r="T54" s="297">
        <f t="shared" si="36"/>
        <v>0</v>
      </c>
      <c r="U54" s="297">
        <f t="shared" si="36"/>
        <v>0</v>
      </c>
      <c r="V54" s="297">
        <f t="shared" si="36"/>
        <v>0</v>
      </c>
      <c r="W54" s="297">
        <f t="shared" si="36"/>
        <v>0</v>
      </c>
      <c r="X54" s="297">
        <f t="shared" si="36"/>
        <v>0</v>
      </c>
      <c r="Y54" s="297">
        <f t="shared" si="36"/>
        <v>0</v>
      </c>
      <c r="Z54" s="297">
        <f t="shared" si="36"/>
        <v>0</v>
      </c>
      <c r="AA54" s="297">
        <f t="shared" si="36"/>
        <v>0</v>
      </c>
      <c r="AB54" s="297">
        <f>SUM(N54:AA54)</f>
        <v>0</v>
      </c>
      <c r="AC54" s="297"/>
    </row>
    <row r="55" spans="1:29" x14ac:dyDescent="0.25">
      <c r="B55" s="93"/>
      <c r="C55" s="93"/>
      <c r="D55" s="93"/>
      <c r="H55" s="298"/>
      <c r="I55" s="116"/>
      <c r="J55" s="276"/>
      <c r="K55" s="299" t="s">
        <v>210</v>
      </c>
      <c r="L55" s="270"/>
      <c r="M55" s="271"/>
      <c r="N55" s="275">
        <f>+N54*15%</f>
        <v>0</v>
      </c>
      <c r="O55" s="275">
        <f>+O54*15%</f>
        <v>0</v>
      </c>
      <c r="P55" s="275">
        <f>+P54*15%</f>
        <v>0</v>
      </c>
      <c r="Q55" s="275">
        <f>+Q54*15%</f>
        <v>0</v>
      </c>
      <c r="R55" s="275">
        <v>0</v>
      </c>
      <c r="S55" s="275">
        <f t="shared" ref="S55:AA55" si="37">+S54*18%</f>
        <v>0</v>
      </c>
      <c r="T55" s="275">
        <f t="shared" si="37"/>
        <v>0</v>
      </c>
      <c r="U55" s="275">
        <f t="shared" si="37"/>
        <v>0</v>
      </c>
      <c r="V55" s="275">
        <f t="shared" si="37"/>
        <v>0</v>
      </c>
      <c r="W55" s="275">
        <f t="shared" si="37"/>
        <v>0</v>
      </c>
      <c r="X55" s="275">
        <f t="shared" si="37"/>
        <v>0</v>
      </c>
      <c r="Y55" s="275">
        <f t="shared" si="37"/>
        <v>0</v>
      </c>
      <c r="Z55" s="275">
        <f t="shared" si="37"/>
        <v>0</v>
      </c>
      <c r="AA55" s="275">
        <f t="shared" si="37"/>
        <v>0</v>
      </c>
      <c r="AB55" s="297">
        <f>SUM(N55:AA55)</f>
        <v>0</v>
      </c>
      <c r="AC55" s="297"/>
    </row>
    <row r="56" spans="1:29" x14ac:dyDescent="0.25">
      <c r="A56" s="300" t="s">
        <v>114</v>
      </c>
      <c r="B56" s="301" t="s">
        <v>115</v>
      </c>
      <c r="C56" s="300" t="s">
        <v>116</v>
      </c>
      <c r="D56" s="300" t="s">
        <v>117</v>
      </c>
      <c r="E56" s="300" t="s">
        <v>118</v>
      </c>
      <c r="F56" s="300" t="s">
        <v>119</v>
      </c>
      <c r="H56" s="298"/>
      <c r="I56" s="116"/>
      <c r="J56" s="276"/>
      <c r="K56" s="299" t="s">
        <v>211</v>
      </c>
      <c r="L56" s="270"/>
      <c r="M56" s="271"/>
      <c r="N56" s="297">
        <f t="shared" ref="N56:Q56" si="38">+N55+N52</f>
        <v>0</v>
      </c>
      <c r="O56" s="297">
        <f t="shared" si="38"/>
        <v>0</v>
      </c>
      <c r="P56" s="297">
        <f t="shared" si="38"/>
        <v>0</v>
      </c>
      <c r="Q56" s="297">
        <f t="shared" si="38"/>
        <v>0</v>
      </c>
      <c r="R56" s="297">
        <f>+R55+R52</f>
        <v>0</v>
      </c>
      <c r="S56" s="297">
        <f t="shared" ref="S56:AA56" si="39">+S55+S52</f>
        <v>0</v>
      </c>
      <c r="T56" s="297">
        <f t="shared" si="39"/>
        <v>0</v>
      </c>
      <c r="U56" s="297">
        <f t="shared" si="39"/>
        <v>0</v>
      </c>
      <c r="V56" s="297">
        <f t="shared" si="39"/>
        <v>0</v>
      </c>
      <c r="W56" s="297">
        <f t="shared" si="39"/>
        <v>0</v>
      </c>
      <c r="X56" s="297">
        <f t="shared" si="39"/>
        <v>0</v>
      </c>
      <c r="Y56" s="297">
        <f t="shared" si="39"/>
        <v>0</v>
      </c>
      <c r="Z56" s="297">
        <f t="shared" si="39"/>
        <v>0</v>
      </c>
      <c r="AA56" s="297">
        <f t="shared" si="39"/>
        <v>0</v>
      </c>
      <c r="AB56" s="297">
        <f>SUM(N56:AA56)</f>
        <v>0</v>
      </c>
      <c r="AC56" s="297"/>
    </row>
    <row r="57" spans="1:29" x14ac:dyDescent="0.25">
      <c r="A57" s="272"/>
      <c r="B57" s="276" t="s">
        <v>120</v>
      </c>
      <c r="C57" s="272"/>
      <c r="E57" s="283"/>
      <c r="F57" s="283"/>
      <c r="H57" s="298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</row>
    <row r="58" spans="1:29" x14ac:dyDescent="0.25">
      <c r="A58" s="272">
        <v>23</v>
      </c>
      <c r="B58" s="276" t="s">
        <v>121</v>
      </c>
      <c r="C58" s="302">
        <v>0.13900000000000001</v>
      </c>
      <c r="D58" s="275">
        <f>+F$15/C$26*C58</f>
        <v>7962170.2000000011</v>
      </c>
      <c r="E58" s="275"/>
      <c r="F58" s="283">
        <f t="shared" ref="F58:F62" si="40">+D58+E58</f>
        <v>7962170.2000000011</v>
      </c>
      <c r="H58" s="293"/>
      <c r="I58" s="294"/>
      <c r="J58" s="295" t="s">
        <v>212</v>
      </c>
      <c r="K58" s="296" t="s">
        <v>213</v>
      </c>
      <c r="L58" s="270"/>
      <c r="M58" s="271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</row>
    <row r="59" spans="1:29" x14ac:dyDescent="0.25">
      <c r="A59" s="272">
        <v>230</v>
      </c>
      <c r="B59" s="276" t="s">
        <v>122</v>
      </c>
      <c r="C59" s="302">
        <v>0.22</v>
      </c>
      <c r="D59" s="275">
        <f>+F$15/C$26*C59</f>
        <v>12601996</v>
      </c>
      <c r="E59" s="275"/>
      <c r="F59" s="283">
        <f t="shared" si="40"/>
        <v>12601996</v>
      </c>
      <c r="H59" s="298"/>
      <c r="I59" s="116"/>
      <c r="J59" s="276"/>
      <c r="K59" s="299" t="s">
        <v>214</v>
      </c>
      <c r="L59" s="270"/>
      <c r="M59" s="271"/>
      <c r="N59" s="297">
        <f>+N52</f>
        <v>0</v>
      </c>
      <c r="O59" s="297">
        <f>+O52</f>
        <v>0</v>
      </c>
      <c r="P59" s="297">
        <f>+P52</f>
        <v>0</v>
      </c>
      <c r="Q59" s="297">
        <f t="shared" ref="Q59" si="41">+Q52</f>
        <v>0</v>
      </c>
      <c r="R59" s="297">
        <f>+R52</f>
        <v>0</v>
      </c>
      <c r="S59" s="297">
        <f t="shared" ref="S59:AA59" si="42">+S52</f>
        <v>0</v>
      </c>
      <c r="T59" s="297">
        <f t="shared" si="42"/>
        <v>0</v>
      </c>
      <c r="U59" s="297">
        <f t="shared" si="42"/>
        <v>0</v>
      </c>
      <c r="V59" s="297">
        <f t="shared" si="42"/>
        <v>0</v>
      </c>
      <c r="W59" s="297">
        <f t="shared" si="42"/>
        <v>0</v>
      </c>
      <c r="X59" s="297">
        <f t="shared" si="42"/>
        <v>0</v>
      </c>
      <c r="Y59" s="297">
        <f t="shared" si="42"/>
        <v>0</v>
      </c>
      <c r="Z59" s="297">
        <f t="shared" si="42"/>
        <v>0</v>
      </c>
      <c r="AA59" s="297">
        <f t="shared" si="42"/>
        <v>0</v>
      </c>
      <c r="AB59" s="297">
        <f>SUM(N59:AA59)</f>
        <v>0</v>
      </c>
      <c r="AC59" s="297"/>
    </row>
    <row r="60" spans="1:29" x14ac:dyDescent="0.25">
      <c r="A60" s="272"/>
      <c r="B60" s="276" t="s">
        <v>123</v>
      </c>
      <c r="C60" s="302">
        <v>0.154</v>
      </c>
      <c r="D60" s="275">
        <f>+F$15/C$26*C60</f>
        <v>8821397.1999999993</v>
      </c>
      <c r="E60" s="275"/>
      <c r="F60" s="283">
        <f t="shared" si="40"/>
        <v>8821397.1999999993</v>
      </c>
      <c r="H60" s="298"/>
      <c r="I60" s="116"/>
      <c r="J60" s="276"/>
      <c r="K60" s="299" t="s">
        <v>191</v>
      </c>
      <c r="L60" s="270"/>
      <c r="M60" s="271"/>
      <c r="N60" s="297">
        <f t="shared" ref="N60:Q60" si="43">+N59*10%</f>
        <v>0</v>
      </c>
      <c r="O60" s="297">
        <f t="shared" si="43"/>
        <v>0</v>
      </c>
      <c r="P60" s="297">
        <f t="shared" si="43"/>
        <v>0</v>
      </c>
      <c r="Q60" s="297">
        <f t="shared" si="43"/>
        <v>0</v>
      </c>
      <c r="R60" s="297">
        <f>+R59*10%</f>
        <v>0</v>
      </c>
      <c r="S60" s="297">
        <f t="shared" ref="S60:AA60" si="44">+S59*10%</f>
        <v>0</v>
      </c>
      <c r="T60" s="297">
        <f t="shared" si="44"/>
        <v>0</v>
      </c>
      <c r="U60" s="297">
        <f t="shared" si="44"/>
        <v>0</v>
      </c>
      <c r="V60" s="297">
        <f t="shared" si="44"/>
        <v>0</v>
      </c>
      <c r="W60" s="297">
        <f t="shared" si="44"/>
        <v>0</v>
      </c>
      <c r="X60" s="297">
        <f t="shared" si="44"/>
        <v>0</v>
      </c>
      <c r="Y60" s="297">
        <f t="shared" si="44"/>
        <v>0</v>
      </c>
      <c r="Z60" s="297">
        <f t="shared" si="44"/>
        <v>0</v>
      </c>
      <c r="AA60" s="297">
        <f t="shared" si="44"/>
        <v>0</v>
      </c>
      <c r="AB60" s="297">
        <f>SUM(N60:AA60)</f>
        <v>0</v>
      </c>
      <c r="AC60" s="297"/>
    </row>
    <row r="61" spans="1:29" x14ac:dyDescent="0.25">
      <c r="A61" s="272"/>
      <c r="B61" s="276" t="s">
        <v>124</v>
      </c>
      <c r="C61" s="302">
        <v>0.20100000000000001</v>
      </c>
      <c r="D61" s="275">
        <f>+F$15/C$26*C61</f>
        <v>11513641.800000001</v>
      </c>
      <c r="E61" s="275">
        <v>1570650</v>
      </c>
      <c r="F61" s="283">
        <f t="shared" si="40"/>
        <v>13084291.800000001</v>
      </c>
      <c r="H61" s="298"/>
      <c r="I61" s="116"/>
      <c r="J61" s="276"/>
      <c r="K61" s="299" t="s">
        <v>215</v>
      </c>
      <c r="L61" s="270"/>
      <c r="M61" s="271"/>
      <c r="N61" s="297">
        <f>+N56-N60</f>
        <v>0</v>
      </c>
      <c r="O61" s="297">
        <f>+O56-O60</f>
        <v>0</v>
      </c>
      <c r="P61" s="297">
        <f>+P56-P60</f>
        <v>0</v>
      </c>
      <c r="Q61" s="297">
        <f t="shared" ref="Q61" si="45">+Q56-Q60</f>
        <v>0</v>
      </c>
      <c r="R61" s="297">
        <f>+R56-R60</f>
        <v>0</v>
      </c>
      <c r="S61" s="297">
        <f t="shared" ref="S61:AA61" si="46">+S56-S60</f>
        <v>0</v>
      </c>
      <c r="T61" s="297">
        <f t="shared" si="46"/>
        <v>0</v>
      </c>
      <c r="U61" s="297">
        <f t="shared" si="46"/>
        <v>0</v>
      </c>
      <c r="V61" s="297">
        <f t="shared" si="46"/>
        <v>0</v>
      </c>
      <c r="W61" s="297">
        <f t="shared" si="46"/>
        <v>0</v>
      </c>
      <c r="X61" s="297">
        <f t="shared" si="46"/>
        <v>0</v>
      </c>
      <c r="Y61" s="297">
        <f t="shared" si="46"/>
        <v>0</v>
      </c>
      <c r="Z61" s="297">
        <f t="shared" si="46"/>
        <v>0</v>
      </c>
      <c r="AA61" s="297">
        <f t="shared" si="46"/>
        <v>0</v>
      </c>
      <c r="AB61" s="297">
        <f>+AB56-AB60</f>
        <v>0</v>
      </c>
      <c r="AC61" s="297"/>
    </row>
    <row r="62" spans="1:29" x14ac:dyDescent="0.25">
      <c r="A62" s="272"/>
      <c r="B62" s="276" t="s">
        <v>125</v>
      </c>
      <c r="C62" s="302">
        <v>0.28599999999999998</v>
      </c>
      <c r="D62" s="275">
        <f>+F$15/C$26*C62</f>
        <v>16382594.799999999</v>
      </c>
      <c r="E62" s="275">
        <v>1825350</v>
      </c>
      <c r="F62" s="283">
        <f t="shared" si="40"/>
        <v>18207944.799999997</v>
      </c>
      <c r="H62" s="298"/>
      <c r="I62" s="116"/>
      <c r="J62" s="276"/>
      <c r="K62" s="299"/>
      <c r="L62" s="270"/>
      <c r="M62" s="271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</row>
    <row r="63" spans="1:29" x14ac:dyDescent="0.25">
      <c r="A63" s="303">
        <f>SUM(A58:A62)</f>
        <v>253</v>
      </c>
      <c r="B63" s="304" t="s">
        <v>119</v>
      </c>
      <c r="C63" s="305">
        <f>SUM(C58:C62)</f>
        <v>1</v>
      </c>
      <c r="D63" s="306">
        <f>SUM(D58:D62)</f>
        <v>57281800</v>
      </c>
      <c r="E63" s="306">
        <f>SUM(E58:E62)</f>
        <v>3396000</v>
      </c>
      <c r="F63" s="306">
        <f>SUM(F58:F62)</f>
        <v>60677800</v>
      </c>
      <c r="H63" s="293"/>
      <c r="I63" s="294"/>
      <c r="J63" s="295" t="s">
        <v>216</v>
      </c>
      <c r="K63" s="296" t="s">
        <v>217</v>
      </c>
      <c r="L63" s="270"/>
      <c r="M63" s="271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</row>
    <row r="64" spans="1:29" x14ac:dyDescent="0.25">
      <c r="A64" s="307"/>
      <c r="B64" s="308" t="s">
        <v>218</v>
      </c>
      <c r="C64" s="309">
        <v>42614</v>
      </c>
      <c r="D64" s="310"/>
      <c r="E64" s="310"/>
      <c r="F64" s="311"/>
      <c r="H64" s="293"/>
      <c r="I64" s="116"/>
      <c r="J64" s="295"/>
      <c r="K64" s="299" t="s">
        <v>219</v>
      </c>
      <c r="L64" s="270"/>
      <c r="M64" s="312"/>
      <c r="N64" s="297">
        <f>+N55</f>
        <v>0</v>
      </c>
      <c r="O64" s="297">
        <f>+O55</f>
        <v>0</v>
      </c>
      <c r="P64" s="297">
        <f>+P55</f>
        <v>0</v>
      </c>
      <c r="Q64" s="297">
        <f t="shared" ref="Q64" si="47">+Q55</f>
        <v>0</v>
      </c>
      <c r="R64" s="297">
        <f>-SUM(N64:P64)</f>
        <v>0</v>
      </c>
      <c r="S64" s="297">
        <f t="shared" ref="S64:T64" si="48">+S55</f>
        <v>0</v>
      </c>
      <c r="T64" s="297">
        <f t="shared" si="48"/>
        <v>0</v>
      </c>
      <c r="U64" s="297"/>
      <c r="V64" s="297"/>
      <c r="W64" s="297">
        <f t="shared" ref="W64" si="49">+W55</f>
        <v>0</v>
      </c>
      <c r="X64" s="297"/>
      <c r="Y64" s="297"/>
      <c r="Z64" s="297"/>
      <c r="AA64" s="297"/>
      <c r="AB64" s="297">
        <f t="shared" ref="AB64:AB69" si="50">SUM(N64:AA64)</f>
        <v>0</v>
      </c>
      <c r="AC64" s="297"/>
    </row>
    <row r="65" spans="3:29" x14ac:dyDescent="0.25">
      <c r="C65" s="110"/>
      <c r="D65" s="313"/>
      <c r="H65" s="293"/>
      <c r="I65" s="116"/>
      <c r="J65" s="295"/>
      <c r="K65" s="299" t="s">
        <v>194</v>
      </c>
      <c r="L65" s="270"/>
      <c r="M65" s="312"/>
      <c r="N65" s="297"/>
      <c r="O65" s="297"/>
      <c r="P65" s="297"/>
      <c r="Q65" s="297"/>
      <c r="R65" s="297"/>
      <c r="S65" s="297"/>
      <c r="T65" s="297"/>
      <c r="U65" s="297"/>
      <c r="V65" s="297"/>
      <c r="W65" s="297">
        <v>50408</v>
      </c>
      <c r="X65" s="297"/>
      <c r="Y65" s="297"/>
      <c r="Z65" s="297"/>
      <c r="AA65" s="297"/>
      <c r="AB65" s="297">
        <f t="shared" si="50"/>
        <v>50408</v>
      </c>
      <c r="AC65" s="297"/>
    </row>
    <row r="66" spans="3:29" x14ac:dyDescent="0.25">
      <c r="C66" s="110"/>
      <c r="D66" s="313"/>
      <c r="H66" s="293"/>
      <c r="I66" s="116"/>
      <c r="J66" s="295"/>
      <c r="K66" s="299" t="s">
        <v>195</v>
      </c>
      <c r="L66" s="270"/>
      <c r="M66" s="312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>
        <f t="shared" si="50"/>
        <v>0</v>
      </c>
      <c r="AC66" s="297"/>
    </row>
    <row r="67" spans="3:29" x14ac:dyDescent="0.25">
      <c r="D67" s="110"/>
      <c r="E67" s="313"/>
      <c r="F67" s="313"/>
      <c r="H67" s="293"/>
      <c r="I67" s="116"/>
      <c r="J67" s="295"/>
      <c r="K67" s="299" t="s">
        <v>196</v>
      </c>
      <c r="L67" s="270"/>
      <c r="M67" s="271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>
        <f t="shared" si="50"/>
        <v>0</v>
      </c>
      <c r="AC67" s="297"/>
    </row>
    <row r="68" spans="3:29" x14ac:dyDescent="0.25">
      <c r="H68" s="293"/>
      <c r="I68" s="116"/>
      <c r="J68" s="276"/>
      <c r="K68" s="299" t="s">
        <v>197</v>
      </c>
      <c r="L68" s="270"/>
      <c r="M68" s="271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>
        <f t="shared" si="50"/>
        <v>0</v>
      </c>
      <c r="AC68" s="297"/>
    </row>
    <row r="69" spans="3:29" x14ac:dyDescent="0.25">
      <c r="H69" s="293"/>
      <c r="I69" s="116"/>
      <c r="J69" s="276"/>
      <c r="K69" s="299" t="s">
        <v>198</v>
      </c>
      <c r="L69" s="270"/>
      <c r="M69" s="271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>
        <f t="shared" si="50"/>
        <v>0</v>
      </c>
      <c r="AC69" s="297"/>
    </row>
    <row r="70" spans="3:29" x14ac:dyDescent="0.25">
      <c r="H70" s="293"/>
      <c r="I70" s="116"/>
      <c r="J70" s="276"/>
      <c r="K70" s="299"/>
      <c r="L70" s="270"/>
      <c r="M70" s="271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3:29" x14ac:dyDescent="0.25">
      <c r="H71" s="293"/>
      <c r="I71" s="116"/>
      <c r="J71" s="295" t="s">
        <v>220</v>
      </c>
      <c r="K71" s="314" t="s">
        <v>119</v>
      </c>
      <c r="L71" s="270"/>
      <c r="M71" s="271"/>
      <c r="N71" s="297">
        <f t="shared" ref="N71:V71" si="51">+N61-SUM(N64:N70)</f>
        <v>0</v>
      </c>
      <c r="O71" s="297">
        <f t="shared" si="51"/>
        <v>0</v>
      </c>
      <c r="P71" s="297">
        <f t="shared" si="51"/>
        <v>0</v>
      </c>
      <c r="Q71" s="297">
        <f t="shared" si="51"/>
        <v>0</v>
      </c>
      <c r="R71" s="297">
        <f t="shared" si="51"/>
        <v>0</v>
      </c>
      <c r="S71" s="297">
        <f t="shared" si="51"/>
        <v>0</v>
      </c>
      <c r="T71" s="297">
        <f t="shared" si="51"/>
        <v>0</v>
      </c>
      <c r="U71" s="297">
        <f t="shared" si="51"/>
        <v>0</v>
      </c>
      <c r="V71" s="297">
        <f t="shared" si="51"/>
        <v>0</v>
      </c>
      <c r="W71" s="297">
        <f t="shared" ref="W71" si="52">+W61-SUM(W64:W70)</f>
        <v>-50408</v>
      </c>
      <c r="X71" s="297">
        <f t="shared" ref="X71:AA71" si="53">+X61-SUM(X64:X70)</f>
        <v>0</v>
      </c>
      <c r="Y71" s="297">
        <f t="shared" si="53"/>
        <v>0</v>
      </c>
      <c r="Z71" s="297">
        <f t="shared" si="53"/>
        <v>0</v>
      </c>
      <c r="AA71" s="297">
        <f t="shared" si="53"/>
        <v>0</v>
      </c>
      <c r="AB71" s="297">
        <f>SUM(N71:AA71)</f>
        <v>-50408</v>
      </c>
      <c r="AC71" s="297"/>
    </row>
    <row r="72" spans="3:29" ht="30" x14ac:dyDescent="0.25">
      <c r="H72" s="293"/>
      <c r="I72" s="116"/>
      <c r="J72" s="276"/>
      <c r="K72" s="299"/>
      <c r="L72" s="270"/>
      <c r="M72" s="271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76"/>
      <c r="AB72" s="297"/>
      <c r="AC72" s="315" t="s">
        <v>221</v>
      </c>
    </row>
    <row r="73" spans="3:29" s="316" customFormat="1" ht="27" customHeight="1" x14ac:dyDescent="0.25">
      <c r="H73" s="317"/>
      <c r="I73" s="193"/>
      <c r="J73" s="318" t="s">
        <v>222</v>
      </c>
      <c r="K73" s="319" t="s">
        <v>41</v>
      </c>
      <c r="L73" s="320"/>
      <c r="M73" s="321"/>
      <c r="N73" s="322"/>
      <c r="O73" s="322">
        <v>13824103</v>
      </c>
      <c r="P73" s="322">
        <v>16401784</v>
      </c>
      <c r="Q73" s="322">
        <v>2072455</v>
      </c>
      <c r="R73" s="322">
        <f>2304016+2733631</f>
        <v>5037647</v>
      </c>
      <c r="S73" s="322"/>
      <c r="T73" s="322">
        <v>3985095.2</v>
      </c>
      <c r="U73" s="322"/>
      <c r="V73" s="322">
        <v>3056400</v>
      </c>
      <c r="W73" s="322">
        <v>2217951</v>
      </c>
      <c r="X73" s="322"/>
      <c r="Y73" s="322"/>
      <c r="Z73" s="322"/>
      <c r="AA73" s="323"/>
      <c r="AB73" s="322">
        <f>SUM(N73:AA73)</f>
        <v>46595435.200000003</v>
      </c>
      <c r="AC73" s="324">
        <f>+AB61-AB73</f>
        <v>-46595435.200000003</v>
      </c>
    </row>
    <row r="75" spans="3:29" ht="26.25" x14ac:dyDescent="0.4">
      <c r="H75" s="331" t="s">
        <v>227</v>
      </c>
      <c r="I75" s="332"/>
      <c r="J75" s="333">
        <f>SUM(J76:J84)</f>
        <v>0.99999999999999989</v>
      </c>
      <c r="K75" s="334">
        <f>$D$22</f>
        <v>12601996</v>
      </c>
      <c r="L75" s="332"/>
      <c r="M75" s="332"/>
      <c r="N75" s="336">
        <v>42709</v>
      </c>
      <c r="O75" s="332"/>
      <c r="P75" s="336">
        <v>42755</v>
      </c>
      <c r="Q75" s="336"/>
      <c r="R75" s="336"/>
      <c r="S75" s="332"/>
      <c r="T75" s="332"/>
      <c r="U75" s="332"/>
      <c r="V75" s="332"/>
      <c r="W75" s="336">
        <v>43217</v>
      </c>
      <c r="X75" s="336"/>
      <c r="Y75" s="336"/>
      <c r="Z75" s="336"/>
      <c r="AA75" s="336">
        <v>43522</v>
      </c>
      <c r="AB75" s="332"/>
      <c r="AC75" s="337" t="s">
        <v>207</v>
      </c>
    </row>
    <row r="76" spans="3:29" x14ac:dyDescent="0.25">
      <c r="H76" s="272"/>
      <c r="I76" s="276" t="s">
        <v>126</v>
      </c>
      <c r="J76" s="274">
        <v>0</v>
      </c>
      <c r="K76" s="275">
        <f>+K$75*J76</f>
        <v>0</v>
      </c>
      <c r="L76" s="276">
        <f t="shared" ref="L76:M84" si="54">L44</f>
        <v>7</v>
      </c>
      <c r="M76" s="277">
        <f t="shared" si="54"/>
        <v>42621</v>
      </c>
      <c r="N76" s="276"/>
      <c r="O76" s="276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5">
        <f t="shared" ref="AB76:AB84" si="55">SUM(N76:AA76)</f>
        <v>0</v>
      </c>
      <c r="AC76" s="275">
        <f t="shared" ref="AC76:AC84" si="56">+K76-AB76</f>
        <v>0</v>
      </c>
    </row>
    <row r="77" spans="3:29" x14ac:dyDescent="0.25">
      <c r="H77" s="272" t="s">
        <v>127</v>
      </c>
      <c r="I77" s="276" t="s">
        <v>128</v>
      </c>
      <c r="J77" s="274">
        <v>0.15</v>
      </c>
      <c r="K77" s="275">
        <f t="shared" ref="K77:K83" si="57">+K$75*J77</f>
        <v>1890299.4</v>
      </c>
      <c r="L77" s="276">
        <f t="shared" si="54"/>
        <v>15</v>
      </c>
      <c r="M77" s="277">
        <f t="shared" si="54"/>
        <v>42629</v>
      </c>
      <c r="N77" s="297">
        <f>+K77</f>
        <v>1890299.4</v>
      </c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5">
        <f t="shared" si="55"/>
        <v>1890299.4</v>
      </c>
      <c r="AC77" s="275">
        <f t="shared" si="56"/>
        <v>0</v>
      </c>
    </row>
    <row r="78" spans="3:29" x14ac:dyDescent="0.25">
      <c r="H78" s="272" t="s">
        <v>129</v>
      </c>
      <c r="I78" s="276" t="s">
        <v>130</v>
      </c>
      <c r="J78" s="274">
        <v>0.1</v>
      </c>
      <c r="K78" s="275">
        <f t="shared" si="57"/>
        <v>1260199.6000000001</v>
      </c>
      <c r="L78" s="276">
        <f t="shared" si="54"/>
        <v>45</v>
      </c>
      <c r="M78" s="277">
        <f t="shared" si="54"/>
        <v>42659</v>
      </c>
      <c r="N78" s="276"/>
      <c r="O78" s="276"/>
      <c r="P78" s="276"/>
      <c r="Q78" s="297"/>
      <c r="R78" s="297"/>
      <c r="S78" s="276"/>
      <c r="T78" s="276"/>
      <c r="U78" s="276"/>
      <c r="V78" s="276"/>
      <c r="W78" s="276"/>
      <c r="X78" s="276"/>
      <c r="Y78" s="276"/>
      <c r="Z78" s="276"/>
      <c r="AA78" s="297">
        <f>+K78</f>
        <v>1260199.6000000001</v>
      </c>
      <c r="AB78" s="275">
        <f t="shared" si="55"/>
        <v>1260199.6000000001</v>
      </c>
      <c r="AC78" s="275">
        <f t="shared" si="56"/>
        <v>0</v>
      </c>
    </row>
    <row r="79" spans="3:29" x14ac:dyDescent="0.25">
      <c r="H79" s="272" t="s">
        <v>131</v>
      </c>
      <c r="I79" s="276" t="s">
        <v>132</v>
      </c>
      <c r="J79" s="274">
        <v>0.1</v>
      </c>
      <c r="K79" s="275">
        <f t="shared" si="57"/>
        <v>1260199.6000000001</v>
      </c>
      <c r="L79" s="276">
        <f t="shared" si="54"/>
        <v>60</v>
      </c>
      <c r="M79" s="277">
        <f t="shared" si="54"/>
        <v>42674</v>
      </c>
      <c r="N79" s="276"/>
      <c r="O79" s="276"/>
      <c r="P79" s="297">
        <f>+K79</f>
        <v>1260199.6000000001</v>
      </c>
      <c r="Q79" s="297"/>
      <c r="R79" s="297"/>
      <c r="S79" s="276"/>
      <c r="T79" s="276"/>
      <c r="U79" s="276"/>
      <c r="V79" s="276"/>
      <c r="W79" s="276"/>
      <c r="X79" s="276"/>
      <c r="Y79" s="276"/>
      <c r="Z79" s="276"/>
      <c r="AA79" s="297"/>
      <c r="AB79" s="275">
        <f t="shared" si="55"/>
        <v>1260199.6000000001</v>
      </c>
      <c r="AC79" s="275">
        <f t="shared" si="56"/>
        <v>0</v>
      </c>
    </row>
    <row r="80" spans="3:29" x14ac:dyDescent="0.25">
      <c r="H80" s="272" t="s">
        <v>133</v>
      </c>
      <c r="I80" s="276" t="s">
        <v>134</v>
      </c>
      <c r="J80" s="274">
        <v>0.1</v>
      </c>
      <c r="K80" s="275">
        <f t="shared" si="57"/>
        <v>1260199.6000000001</v>
      </c>
      <c r="L80" s="276">
        <f t="shared" si="54"/>
        <v>150</v>
      </c>
      <c r="M80" s="277">
        <f t="shared" si="54"/>
        <v>42764</v>
      </c>
      <c r="N80" s="276"/>
      <c r="O80" s="276"/>
      <c r="P80" s="297">
        <f>+K80</f>
        <v>1260199.6000000001</v>
      </c>
      <c r="Q80" s="297"/>
      <c r="R80" s="297"/>
      <c r="S80" s="276"/>
      <c r="T80" s="276"/>
      <c r="U80" s="276"/>
      <c r="V80" s="276"/>
      <c r="W80" s="276"/>
      <c r="X80" s="276"/>
      <c r="Y80" s="276"/>
      <c r="Z80" s="276"/>
      <c r="AA80" s="276"/>
      <c r="AB80" s="275">
        <f t="shared" si="55"/>
        <v>1260199.6000000001</v>
      </c>
      <c r="AC80" s="275">
        <f t="shared" si="56"/>
        <v>0</v>
      </c>
    </row>
    <row r="81" spans="8:29" x14ac:dyDescent="0.25">
      <c r="H81" s="272" t="s">
        <v>135</v>
      </c>
      <c r="I81" s="276" t="s">
        <v>136</v>
      </c>
      <c r="J81" s="274">
        <v>0.25</v>
      </c>
      <c r="K81" s="275">
        <f t="shared" si="57"/>
        <v>3150499</v>
      </c>
      <c r="L81" s="276">
        <f t="shared" si="54"/>
        <v>270</v>
      </c>
      <c r="M81" s="277">
        <f t="shared" si="54"/>
        <v>42884</v>
      </c>
      <c r="N81" s="276"/>
      <c r="O81" s="276"/>
      <c r="P81" s="297">
        <f>+K81</f>
        <v>3150499</v>
      </c>
      <c r="Q81" s="297"/>
      <c r="R81" s="297"/>
      <c r="S81" s="276"/>
      <c r="T81" s="276"/>
      <c r="U81" s="276"/>
      <c r="V81" s="276"/>
      <c r="W81" s="276"/>
      <c r="X81" s="276"/>
      <c r="Y81" s="276"/>
      <c r="Z81" s="276"/>
      <c r="AA81" s="276"/>
      <c r="AB81" s="275">
        <f t="shared" si="55"/>
        <v>3150499</v>
      </c>
      <c r="AC81" s="275">
        <f t="shared" si="56"/>
        <v>0</v>
      </c>
    </row>
    <row r="82" spans="8:29" x14ac:dyDescent="0.25">
      <c r="H82" s="272" t="s">
        <v>137</v>
      </c>
      <c r="I82" s="276" t="s">
        <v>138</v>
      </c>
      <c r="J82" s="274">
        <v>0.2</v>
      </c>
      <c r="K82" s="275">
        <f t="shared" si="57"/>
        <v>2520399.2000000002</v>
      </c>
      <c r="L82" s="276">
        <f t="shared" si="54"/>
        <v>270</v>
      </c>
      <c r="M82" s="277">
        <f t="shared" si="54"/>
        <v>42884</v>
      </c>
      <c r="N82" s="276"/>
      <c r="O82" s="276"/>
      <c r="P82" s="276"/>
      <c r="Q82" s="276"/>
      <c r="R82" s="297"/>
      <c r="S82" s="276"/>
      <c r="T82" s="276"/>
      <c r="U82" s="276"/>
      <c r="V82" s="276"/>
      <c r="W82" s="297">
        <f>+K82</f>
        <v>2520399.2000000002</v>
      </c>
      <c r="X82" s="297"/>
      <c r="Y82" s="297"/>
      <c r="Z82" s="297"/>
      <c r="AA82" s="276"/>
      <c r="AB82" s="275">
        <f t="shared" si="55"/>
        <v>2520399.2000000002</v>
      </c>
      <c r="AC82" s="275">
        <f t="shared" si="56"/>
        <v>0</v>
      </c>
    </row>
    <row r="83" spans="8:29" x14ac:dyDescent="0.25">
      <c r="H83" s="272" t="s">
        <v>139</v>
      </c>
      <c r="I83" s="338" t="s">
        <v>140</v>
      </c>
      <c r="J83" s="279">
        <v>0.1</v>
      </c>
      <c r="K83" s="275">
        <f t="shared" si="57"/>
        <v>1260199.6000000001</v>
      </c>
      <c r="L83" s="276">
        <f t="shared" si="54"/>
        <v>300</v>
      </c>
      <c r="M83" s="277">
        <f t="shared" si="54"/>
        <v>42914</v>
      </c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5">
        <f t="shared" si="55"/>
        <v>0</v>
      </c>
      <c r="AC83" s="275">
        <f t="shared" si="56"/>
        <v>1260199.6000000001</v>
      </c>
    </row>
    <row r="84" spans="8:29" x14ac:dyDescent="0.25">
      <c r="H84" s="272" t="s">
        <v>141</v>
      </c>
      <c r="I84" s="338" t="s">
        <v>142</v>
      </c>
      <c r="J84" s="279">
        <v>0</v>
      </c>
      <c r="K84" s="275">
        <v>0</v>
      </c>
      <c r="L84" s="276">
        <f t="shared" si="54"/>
        <v>300</v>
      </c>
      <c r="M84" s="277">
        <f t="shared" si="54"/>
        <v>42914</v>
      </c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5">
        <f t="shared" si="55"/>
        <v>0</v>
      </c>
      <c r="AC84" s="275">
        <f t="shared" si="56"/>
        <v>0</v>
      </c>
    </row>
    <row r="85" spans="8:29" s="93" customFormat="1" x14ac:dyDescent="0.25">
      <c r="H85" s="339"/>
      <c r="I85" s="340" t="s">
        <v>226</v>
      </c>
      <c r="J85" s="341"/>
      <c r="K85" s="342"/>
      <c r="L85" s="340"/>
      <c r="M85" s="343"/>
      <c r="N85" s="344">
        <f>SUM(N76:N84)</f>
        <v>1890299.4</v>
      </c>
      <c r="O85" s="344">
        <f>SUM(O76:O84)</f>
        <v>0</v>
      </c>
      <c r="P85" s="344">
        <f t="shared" ref="P85:X85" si="58">SUM(P76:P84)</f>
        <v>5670898.2000000002</v>
      </c>
      <c r="Q85" s="344">
        <f t="shared" si="58"/>
        <v>0</v>
      </c>
      <c r="R85" s="344">
        <f t="shared" si="58"/>
        <v>0</v>
      </c>
      <c r="S85" s="344">
        <f t="shared" si="58"/>
        <v>0</v>
      </c>
      <c r="T85" s="344">
        <f t="shared" si="58"/>
        <v>0</v>
      </c>
      <c r="U85" s="344">
        <f t="shared" si="58"/>
        <v>0</v>
      </c>
      <c r="V85" s="344">
        <f t="shared" si="58"/>
        <v>0</v>
      </c>
      <c r="W85" s="344">
        <f t="shared" si="58"/>
        <v>2520399.2000000002</v>
      </c>
      <c r="X85" s="344">
        <f t="shared" si="58"/>
        <v>0</v>
      </c>
      <c r="Y85" s="344"/>
      <c r="Z85" s="344"/>
      <c r="AA85" s="344">
        <f t="shared" ref="AA85:AC85" si="59">SUM(AA76:AA84)</f>
        <v>1260199.6000000001</v>
      </c>
      <c r="AB85" s="344">
        <f t="shared" si="59"/>
        <v>11341796.399999999</v>
      </c>
      <c r="AC85" s="344">
        <f t="shared" si="59"/>
        <v>1260199.6000000001</v>
      </c>
    </row>
    <row r="86" spans="8:29" x14ac:dyDescent="0.25">
      <c r="O86">
        <v>2</v>
      </c>
    </row>
    <row r="87" spans="8:29" ht="26.25" x14ac:dyDescent="0.4">
      <c r="H87" s="331" t="s">
        <v>228</v>
      </c>
      <c r="I87" s="332"/>
      <c r="J87" s="333">
        <f>SUM(J88:J96)</f>
        <v>0.99999999999999989</v>
      </c>
      <c r="K87" s="334">
        <f>$D$23</f>
        <v>8821397.1999999993</v>
      </c>
      <c r="L87" s="332"/>
      <c r="M87" s="332"/>
      <c r="N87" s="336">
        <v>42709</v>
      </c>
      <c r="O87" s="336">
        <v>42755</v>
      </c>
      <c r="P87" s="332"/>
      <c r="Q87" s="332"/>
      <c r="R87" s="332"/>
      <c r="S87" s="332"/>
      <c r="T87" s="332"/>
      <c r="U87" s="332"/>
      <c r="V87" s="332"/>
      <c r="W87" s="336"/>
      <c r="X87" s="336">
        <v>43216</v>
      </c>
      <c r="Y87" s="336">
        <v>43328</v>
      </c>
      <c r="Z87" s="336"/>
      <c r="AA87" s="336"/>
      <c r="AB87" s="332"/>
      <c r="AC87" s="337" t="s">
        <v>207</v>
      </c>
    </row>
    <row r="88" spans="8:29" x14ac:dyDescent="0.25">
      <c r="H88" s="272"/>
      <c r="I88" s="276" t="s">
        <v>126</v>
      </c>
      <c r="J88" s="274">
        <v>0</v>
      </c>
      <c r="K88" s="275">
        <f>+K$87*J88</f>
        <v>0</v>
      </c>
      <c r="L88" s="276">
        <f t="shared" ref="L88:M96" si="60">L44</f>
        <v>7</v>
      </c>
      <c r="M88" s="277">
        <f t="shared" si="60"/>
        <v>42621</v>
      </c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5">
        <f t="shared" ref="AB88:AB96" si="61">SUM(N88:AA88)</f>
        <v>0</v>
      </c>
      <c r="AC88" s="275">
        <f t="shared" ref="AC88:AC96" si="62">+K88-AB88</f>
        <v>0</v>
      </c>
    </row>
    <row r="89" spans="8:29" x14ac:dyDescent="0.25">
      <c r="H89" s="272" t="s">
        <v>127</v>
      </c>
      <c r="I89" s="276" t="s">
        <v>128</v>
      </c>
      <c r="J89" s="274">
        <v>0.15</v>
      </c>
      <c r="K89" s="275">
        <f t="shared" ref="K89:K95" si="63">+K$87*J89</f>
        <v>1323209.5799999998</v>
      </c>
      <c r="L89" s="276">
        <f t="shared" si="60"/>
        <v>15</v>
      </c>
      <c r="M89" s="277">
        <f t="shared" si="60"/>
        <v>42629</v>
      </c>
      <c r="N89" s="297">
        <f>+K89</f>
        <v>1323209.5799999998</v>
      </c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5">
        <f t="shared" si="61"/>
        <v>1323209.5799999998</v>
      </c>
      <c r="AC89" s="275">
        <f t="shared" si="62"/>
        <v>0</v>
      </c>
    </row>
    <row r="90" spans="8:29" x14ac:dyDescent="0.25">
      <c r="H90" s="272" t="s">
        <v>129</v>
      </c>
      <c r="I90" s="276" t="s">
        <v>130</v>
      </c>
      <c r="J90" s="274">
        <v>0.1</v>
      </c>
      <c r="K90" s="275">
        <f t="shared" si="63"/>
        <v>882139.72</v>
      </c>
      <c r="L90" s="276">
        <f t="shared" si="60"/>
        <v>45</v>
      </c>
      <c r="M90" s="277">
        <f t="shared" si="60"/>
        <v>42659</v>
      </c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97"/>
      <c r="Y90" s="297">
        <f>+K90</f>
        <v>882139.72</v>
      </c>
      <c r="Z90" s="297"/>
      <c r="AA90" s="297"/>
      <c r="AB90" s="275">
        <f t="shared" si="61"/>
        <v>882139.72</v>
      </c>
      <c r="AC90" s="275">
        <f t="shared" si="62"/>
        <v>0</v>
      </c>
    </row>
    <row r="91" spans="8:29" x14ac:dyDescent="0.25">
      <c r="H91" s="272" t="s">
        <v>131</v>
      </c>
      <c r="I91" s="276" t="s">
        <v>132</v>
      </c>
      <c r="J91" s="274">
        <v>0.1</v>
      </c>
      <c r="K91" s="275">
        <f t="shared" si="63"/>
        <v>882139.72</v>
      </c>
      <c r="L91" s="276">
        <f t="shared" si="60"/>
        <v>60</v>
      </c>
      <c r="M91" s="277">
        <f t="shared" si="60"/>
        <v>42674</v>
      </c>
      <c r="N91" s="276"/>
      <c r="O91" s="297">
        <f>+K91</f>
        <v>882139.72</v>
      </c>
      <c r="P91" s="297"/>
      <c r="Q91" s="276"/>
      <c r="R91" s="297"/>
      <c r="S91" s="276"/>
      <c r="T91" s="276"/>
      <c r="U91" s="276"/>
      <c r="V91" s="276"/>
      <c r="W91" s="276"/>
      <c r="X91" s="297"/>
      <c r="Y91" s="297">
        <f t="shared" ref="Y91:Y92" si="64">+K91</f>
        <v>882139.72</v>
      </c>
      <c r="Z91" s="297"/>
      <c r="AA91" s="297"/>
      <c r="AB91" s="275">
        <f t="shared" si="61"/>
        <v>1764279.44</v>
      </c>
      <c r="AC91" s="275">
        <f t="shared" si="62"/>
        <v>-882139.72</v>
      </c>
    </row>
    <row r="92" spans="8:29" x14ac:dyDescent="0.25">
      <c r="H92" s="272" t="s">
        <v>133</v>
      </c>
      <c r="I92" s="276" t="s">
        <v>134</v>
      </c>
      <c r="J92" s="274">
        <v>0.1</v>
      </c>
      <c r="K92" s="275">
        <f t="shared" si="63"/>
        <v>882139.72</v>
      </c>
      <c r="L92" s="276">
        <f t="shared" si="60"/>
        <v>150</v>
      </c>
      <c r="M92" s="277">
        <f t="shared" si="60"/>
        <v>42764</v>
      </c>
      <c r="N92" s="276"/>
      <c r="P92" s="297"/>
      <c r="Q92" s="276"/>
      <c r="R92" s="297"/>
      <c r="S92" s="276"/>
      <c r="T92" s="276"/>
      <c r="U92" s="276"/>
      <c r="V92" s="276"/>
      <c r="W92" s="276"/>
      <c r="X92" s="297"/>
      <c r="Y92" s="297">
        <f t="shared" si="64"/>
        <v>882139.72</v>
      </c>
      <c r="Z92" s="297"/>
      <c r="AA92" s="297"/>
      <c r="AB92" s="275">
        <f t="shared" si="61"/>
        <v>882139.72</v>
      </c>
      <c r="AC92" s="275">
        <f t="shared" si="62"/>
        <v>0</v>
      </c>
    </row>
    <row r="93" spans="8:29" x14ac:dyDescent="0.25">
      <c r="H93" s="272" t="s">
        <v>135</v>
      </c>
      <c r="I93" s="276" t="s">
        <v>136</v>
      </c>
      <c r="J93" s="274">
        <v>0.25</v>
      </c>
      <c r="K93" s="275">
        <f t="shared" si="63"/>
        <v>2205349.2999999998</v>
      </c>
      <c r="L93" s="276">
        <f t="shared" si="60"/>
        <v>270</v>
      </c>
      <c r="M93" s="277">
        <f t="shared" si="60"/>
        <v>42884</v>
      </c>
      <c r="N93" s="276"/>
      <c r="O93" s="297"/>
      <c r="P93" s="297"/>
      <c r="Q93" s="276"/>
      <c r="R93" s="297"/>
      <c r="S93" s="276"/>
      <c r="T93" s="276"/>
      <c r="U93" s="276"/>
      <c r="V93" s="276"/>
      <c r="W93" s="276"/>
      <c r="X93" s="297">
        <f>+K93</f>
        <v>2205349.2999999998</v>
      </c>
      <c r="Y93" s="297"/>
      <c r="Z93" s="297"/>
      <c r="AA93" s="276"/>
      <c r="AB93" s="275">
        <f t="shared" si="61"/>
        <v>2205349.2999999998</v>
      </c>
      <c r="AC93" s="275">
        <f t="shared" si="62"/>
        <v>0</v>
      </c>
    </row>
    <row r="94" spans="8:29" x14ac:dyDescent="0.25">
      <c r="H94" s="272" t="s">
        <v>137</v>
      </c>
      <c r="I94" s="276" t="s">
        <v>138</v>
      </c>
      <c r="J94" s="274">
        <v>0.2</v>
      </c>
      <c r="K94" s="275">
        <f t="shared" si="63"/>
        <v>1764279.44</v>
      </c>
      <c r="L94" s="276">
        <f t="shared" si="60"/>
        <v>270</v>
      </c>
      <c r="M94" s="277">
        <f t="shared" si="60"/>
        <v>42884</v>
      </c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97"/>
      <c r="Y94" s="297"/>
      <c r="Z94" s="297"/>
      <c r="AA94" s="276"/>
      <c r="AB94" s="275">
        <f t="shared" si="61"/>
        <v>0</v>
      </c>
      <c r="AC94" s="275">
        <f t="shared" si="62"/>
        <v>1764279.44</v>
      </c>
    </row>
    <row r="95" spans="8:29" x14ac:dyDescent="0.25">
      <c r="H95" s="272" t="s">
        <v>139</v>
      </c>
      <c r="I95" s="338" t="s">
        <v>140</v>
      </c>
      <c r="J95" s="279">
        <v>0.1</v>
      </c>
      <c r="K95" s="275">
        <f t="shared" si="63"/>
        <v>882139.72</v>
      </c>
      <c r="L95" s="276">
        <f t="shared" si="60"/>
        <v>300</v>
      </c>
      <c r="M95" s="277">
        <f t="shared" si="60"/>
        <v>42914</v>
      </c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5">
        <f t="shared" si="61"/>
        <v>0</v>
      </c>
      <c r="AC95" s="275">
        <f t="shared" si="62"/>
        <v>882139.72</v>
      </c>
    </row>
    <row r="96" spans="8:29" x14ac:dyDescent="0.25">
      <c r="H96" s="272" t="s">
        <v>141</v>
      </c>
      <c r="I96" s="338" t="s">
        <v>142</v>
      </c>
      <c r="J96" s="279">
        <v>0</v>
      </c>
      <c r="K96" s="275">
        <v>0</v>
      </c>
      <c r="L96" s="276">
        <f t="shared" si="60"/>
        <v>300</v>
      </c>
      <c r="M96" s="277">
        <f t="shared" si="60"/>
        <v>42914</v>
      </c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5">
        <f t="shared" si="61"/>
        <v>0</v>
      </c>
      <c r="AC96" s="275">
        <f t="shared" si="62"/>
        <v>0</v>
      </c>
    </row>
    <row r="97" spans="8:29" s="93" customFormat="1" x14ac:dyDescent="0.25">
      <c r="H97" s="339"/>
      <c r="I97" s="340" t="s">
        <v>226</v>
      </c>
      <c r="J97" s="341"/>
      <c r="K97" s="342"/>
      <c r="L97" s="340"/>
      <c r="M97" s="343"/>
      <c r="N97" s="344">
        <f>SUM(N88:N96)</f>
        <v>1323209.5799999998</v>
      </c>
      <c r="O97" s="344">
        <f>SUM(O88:O96)</f>
        <v>882139.72</v>
      </c>
      <c r="P97" s="344">
        <f t="shared" ref="P97:X97" si="65">SUM(P88:P96)</f>
        <v>0</v>
      </c>
      <c r="Q97" s="344">
        <f t="shared" si="65"/>
        <v>0</v>
      </c>
      <c r="R97" s="344">
        <f t="shared" si="65"/>
        <v>0</v>
      </c>
      <c r="S97" s="344">
        <f t="shared" si="65"/>
        <v>0</v>
      </c>
      <c r="T97" s="344">
        <f t="shared" si="65"/>
        <v>0</v>
      </c>
      <c r="U97" s="344">
        <f t="shared" si="65"/>
        <v>0</v>
      </c>
      <c r="V97" s="344">
        <f t="shared" si="65"/>
        <v>0</v>
      </c>
      <c r="W97" s="344">
        <f t="shared" si="65"/>
        <v>0</v>
      </c>
      <c r="X97" s="344">
        <f t="shared" si="65"/>
        <v>2205349.2999999998</v>
      </c>
      <c r="Y97" s="344"/>
      <c r="Z97" s="344"/>
      <c r="AA97" s="344">
        <f t="shared" ref="AA97:AC97" si="66">SUM(AA88:AA96)</f>
        <v>0</v>
      </c>
      <c r="AB97" s="344">
        <f t="shared" si="66"/>
        <v>7057117.7599999998</v>
      </c>
      <c r="AC97" s="344">
        <f t="shared" si="66"/>
        <v>1764279.44</v>
      </c>
    </row>
    <row r="98" spans="8:29" x14ac:dyDescent="0.25">
      <c r="N98">
        <v>1</v>
      </c>
      <c r="O98">
        <v>2</v>
      </c>
      <c r="P98">
        <v>3</v>
      </c>
      <c r="Q98">
        <v>4</v>
      </c>
      <c r="R98">
        <v>5</v>
      </c>
      <c r="S98">
        <v>6</v>
      </c>
      <c r="T98">
        <v>7</v>
      </c>
      <c r="U98">
        <v>8</v>
      </c>
    </row>
    <row r="99" spans="8:29" ht="26.25" x14ac:dyDescent="0.4">
      <c r="H99" s="331" t="s">
        <v>229</v>
      </c>
      <c r="I99" s="332"/>
      <c r="J99" s="333">
        <f>SUM(J100:J108)</f>
        <v>0.99999999999999989</v>
      </c>
      <c r="K99" s="334">
        <f>$D$24</f>
        <v>11513641.800000001</v>
      </c>
      <c r="L99" s="332"/>
      <c r="M99" s="332" t="s">
        <v>175</v>
      </c>
      <c r="N99" s="336">
        <v>42709</v>
      </c>
      <c r="O99" s="336">
        <v>42755</v>
      </c>
      <c r="P99" s="336">
        <v>42755</v>
      </c>
      <c r="Q99" s="336">
        <v>42755</v>
      </c>
      <c r="R99" s="336">
        <v>42886</v>
      </c>
      <c r="S99" s="332"/>
      <c r="T99" s="336">
        <v>42989</v>
      </c>
      <c r="U99" s="336">
        <v>43230</v>
      </c>
      <c r="V99" s="332"/>
      <c r="W99" s="332"/>
      <c r="X99" s="336"/>
      <c r="Y99" s="336"/>
      <c r="Z99" s="336">
        <v>43516</v>
      </c>
      <c r="AA99" s="332"/>
      <c r="AB99" s="332"/>
      <c r="AC99" s="337" t="s">
        <v>207</v>
      </c>
    </row>
    <row r="100" spans="8:29" x14ac:dyDescent="0.25">
      <c r="H100" s="272"/>
      <c r="I100" s="276" t="s">
        <v>126</v>
      </c>
      <c r="J100" s="274">
        <v>0</v>
      </c>
      <c r="K100" s="275">
        <f>+K$99*J100</f>
        <v>0</v>
      </c>
      <c r="L100" s="276">
        <f t="shared" ref="L100:M108" si="67">L44</f>
        <v>7</v>
      </c>
      <c r="M100" s="277">
        <f t="shared" si="67"/>
        <v>42621</v>
      </c>
      <c r="N100" s="276"/>
      <c r="O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5">
        <f t="shared" ref="AB100:AB108" si="68">SUM(N100:AA100)</f>
        <v>0</v>
      </c>
      <c r="AC100" s="275">
        <f t="shared" ref="AC100:AC108" si="69">+K100-AB100</f>
        <v>0</v>
      </c>
    </row>
    <row r="101" spans="8:29" x14ac:dyDescent="0.25">
      <c r="H101" s="272" t="s">
        <v>127</v>
      </c>
      <c r="I101" s="276" t="s">
        <v>128</v>
      </c>
      <c r="J101" s="274">
        <v>0.15</v>
      </c>
      <c r="K101" s="275">
        <f t="shared" ref="K101:K107" si="70">+K$99*J101</f>
        <v>1727046.27</v>
      </c>
      <c r="L101" s="276">
        <f t="shared" si="67"/>
        <v>15</v>
      </c>
      <c r="M101" s="277">
        <f t="shared" si="67"/>
        <v>42629</v>
      </c>
      <c r="N101" s="297">
        <f>+K101</f>
        <v>1727046.27</v>
      </c>
      <c r="O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5">
        <f t="shared" si="68"/>
        <v>1727046.27</v>
      </c>
      <c r="AC101" s="275">
        <f t="shared" si="69"/>
        <v>0</v>
      </c>
    </row>
    <row r="102" spans="8:29" x14ac:dyDescent="0.25">
      <c r="H102" s="272" t="s">
        <v>129</v>
      </c>
      <c r="I102" s="276" t="s">
        <v>130</v>
      </c>
      <c r="J102" s="274">
        <v>0.1</v>
      </c>
      <c r="K102" s="275">
        <f t="shared" si="70"/>
        <v>1151364.1800000002</v>
      </c>
      <c r="L102" s="276">
        <f t="shared" si="67"/>
        <v>45</v>
      </c>
      <c r="M102" s="277">
        <f t="shared" si="67"/>
        <v>42659</v>
      </c>
      <c r="N102" s="276"/>
      <c r="O102" s="276"/>
      <c r="Q102" s="276"/>
      <c r="R102" s="276"/>
      <c r="S102" s="276"/>
      <c r="T102" s="276"/>
      <c r="U102" s="276"/>
      <c r="V102" s="276"/>
      <c r="W102" s="276"/>
      <c r="X102" s="297"/>
      <c r="Y102" s="297"/>
      <c r="Z102" s="297">
        <f>+K102</f>
        <v>1151364.1800000002</v>
      </c>
      <c r="AA102" s="276"/>
      <c r="AB102" s="275">
        <f t="shared" si="68"/>
        <v>1151364.1800000002</v>
      </c>
      <c r="AC102" s="275">
        <f t="shared" si="69"/>
        <v>0</v>
      </c>
    </row>
    <row r="103" spans="8:29" x14ac:dyDescent="0.25">
      <c r="H103" s="272" t="s">
        <v>131</v>
      </c>
      <c r="I103" s="276" t="s">
        <v>132</v>
      </c>
      <c r="J103" s="274">
        <v>0.1</v>
      </c>
      <c r="K103" s="275">
        <f t="shared" si="70"/>
        <v>1151364.1800000002</v>
      </c>
      <c r="L103" s="276">
        <f t="shared" si="67"/>
        <v>60</v>
      </c>
      <c r="M103" s="277">
        <f t="shared" si="67"/>
        <v>42674</v>
      </c>
      <c r="N103" s="276"/>
      <c r="O103" s="297">
        <f>+K103</f>
        <v>1151364.1800000002</v>
      </c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5">
        <f t="shared" si="68"/>
        <v>1151364.1800000002</v>
      </c>
      <c r="AC103" s="275">
        <f t="shared" si="69"/>
        <v>0</v>
      </c>
    </row>
    <row r="104" spans="8:29" x14ac:dyDescent="0.25">
      <c r="H104" s="272" t="s">
        <v>133</v>
      </c>
      <c r="I104" s="276" t="s">
        <v>134</v>
      </c>
      <c r="J104" s="274">
        <v>0.1</v>
      </c>
      <c r="K104" s="275">
        <f t="shared" si="70"/>
        <v>1151364.1800000002</v>
      </c>
      <c r="L104" s="276">
        <f t="shared" si="67"/>
        <v>150</v>
      </c>
      <c r="M104" s="277">
        <f t="shared" si="67"/>
        <v>42764</v>
      </c>
      <c r="N104" s="276"/>
      <c r="P104" s="297">
        <f>+K104</f>
        <v>1151364.1800000002</v>
      </c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5">
        <f t="shared" si="68"/>
        <v>1151364.1800000002</v>
      </c>
      <c r="AC104" s="275">
        <f t="shared" si="69"/>
        <v>0</v>
      </c>
    </row>
    <row r="105" spans="8:29" x14ac:dyDescent="0.25">
      <c r="H105" s="272" t="s">
        <v>135</v>
      </c>
      <c r="I105" s="276" t="s">
        <v>136</v>
      </c>
      <c r="J105" s="274">
        <v>0.25</v>
      </c>
      <c r="K105" s="275">
        <f t="shared" si="70"/>
        <v>2878410.45</v>
      </c>
      <c r="L105" s="276">
        <f t="shared" si="67"/>
        <v>270</v>
      </c>
      <c r="M105" s="277">
        <f t="shared" si="67"/>
        <v>42884</v>
      </c>
      <c r="N105" s="276"/>
      <c r="O105" s="297"/>
      <c r="Q105" s="297">
        <f>+M105</f>
        <v>42884</v>
      </c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5">
        <f t="shared" si="68"/>
        <v>42884</v>
      </c>
      <c r="AC105" s="275">
        <f t="shared" si="69"/>
        <v>2835526.45</v>
      </c>
    </row>
    <row r="106" spans="8:29" x14ac:dyDescent="0.25">
      <c r="H106" s="272" t="s">
        <v>137</v>
      </c>
      <c r="I106" s="276" t="s">
        <v>138</v>
      </c>
      <c r="J106" s="274">
        <v>0.2</v>
      </c>
      <c r="K106" s="275">
        <f t="shared" si="70"/>
        <v>2302728.3600000003</v>
      </c>
      <c r="L106" s="276">
        <f t="shared" si="67"/>
        <v>270</v>
      </c>
      <c r="M106" s="277">
        <f t="shared" si="67"/>
        <v>42884</v>
      </c>
      <c r="N106" s="276"/>
      <c r="O106" s="276"/>
      <c r="Q106" s="276"/>
      <c r="R106" s="276">
        <f>+L106</f>
        <v>270</v>
      </c>
      <c r="S106" s="276"/>
      <c r="T106" s="276"/>
      <c r="U106" s="276"/>
      <c r="V106" s="276"/>
      <c r="W106" s="276"/>
      <c r="X106" s="297"/>
      <c r="Y106" s="297"/>
      <c r="Z106" s="297"/>
      <c r="AA106" s="276"/>
      <c r="AB106" s="275">
        <f t="shared" si="68"/>
        <v>270</v>
      </c>
      <c r="AC106" s="275">
        <f t="shared" si="69"/>
        <v>2302458.3600000003</v>
      </c>
    </row>
    <row r="107" spans="8:29" x14ac:dyDescent="0.25">
      <c r="H107" s="272" t="s">
        <v>139</v>
      </c>
      <c r="I107" s="338" t="s">
        <v>140</v>
      </c>
      <c r="J107" s="279">
        <v>0.1</v>
      </c>
      <c r="K107" s="275">
        <f t="shared" si="70"/>
        <v>1151364.1800000002</v>
      </c>
      <c r="L107" s="276">
        <f t="shared" si="67"/>
        <v>300</v>
      </c>
      <c r="M107" s="277">
        <f t="shared" si="67"/>
        <v>42914</v>
      </c>
      <c r="N107" s="276"/>
      <c r="O107" s="276"/>
      <c r="Q107" s="276"/>
      <c r="R107" s="276"/>
      <c r="S107" s="276"/>
      <c r="T107" s="276">
        <f>+K107</f>
        <v>1151364.1800000002</v>
      </c>
      <c r="U107" s="276"/>
      <c r="V107" s="276"/>
      <c r="W107" s="276"/>
      <c r="X107" s="276"/>
      <c r="Y107" s="276"/>
      <c r="Z107" s="276"/>
      <c r="AA107" s="276"/>
      <c r="AB107" s="275">
        <f t="shared" si="68"/>
        <v>1151364.1800000002</v>
      </c>
      <c r="AC107" s="275">
        <f t="shared" si="69"/>
        <v>0</v>
      </c>
    </row>
    <row r="108" spans="8:29" x14ac:dyDescent="0.25">
      <c r="H108" s="272" t="s">
        <v>141</v>
      </c>
      <c r="I108" s="338" t="s">
        <v>142</v>
      </c>
      <c r="J108" s="279"/>
      <c r="K108" s="275">
        <f>+E24</f>
        <v>1570650</v>
      </c>
      <c r="L108" s="276">
        <f t="shared" si="67"/>
        <v>300</v>
      </c>
      <c r="M108" s="277">
        <f t="shared" si="67"/>
        <v>42914</v>
      </c>
      <c r="N108" s="276"/>
      <c r="O108" s="276"/>
      <c r="P108" s="276"/>
      <c r="Q108" s="276"/>
      <c r="R108" s="276"/>
      <c r="S108" s="276"/>
      <c r="T108" s="276"/>
      <c r="U108" s="276">
        <f>+K108</f>
        <v>1570650</v>
      </c>
      <c r="V108" s="276"/>
      <c r="W108" s="276"/>
      <c r="X108" s="276"/>
      <c r="Y108" s="276"/>
      <c r="Z108" s="276"/>
      <c r="AA108" s="276"/>
      <c r="AB108" s="275">
        <f t="shared" si="68"/>
        <v>1570650</v>
      </c>
      <c r="AC108" s="275">
        <f t="shared" si="69"/>
        <v>0</v>
      </c>
    </row>
    <row r="109" spans="8:29" s="93" customFormat="1" x14ac:dyDescent="0.25">
      <c r="H109" s="339"/>
      <c r="I109" s="340" t="s">
        <v>226</v>
      </c>
      <c r="J109" s="341"/>
      <c r="K109" s="342"/>
      <c r="L109" s="340"/>
      <c r="M109" s="343"/>
      <c r="N109" s="344">
        <f>SUM(N100:N108)</f>
        <v>1727046.27</v>
      </c>
      <c r="O109" s="344">
        <f>SUM(O108:O108)</f>
        <v>0</v>
      </c>
      <c r="P109" s="344">
        <f t="shared" ref="P109:X109" si="71">SUM(P100:P108)</f>
        <v>1151364.1800000002</v>
      </c>
      <c r="Q109" s="344">
        <f t="shared" si="71"/>
        <v>42884</v>
      </c>
      <c r="R109" s="344">
        <f t="shared" ref="R109" si="72">SUM(R100:R108)</f>
        <v>270</v>
      </c>
      <c r="S109" s="344">
        <f t="shared" si="71"/>
        <v>0</v>
      </c>
      <c r="T109" s="344">
        <f t="shared" si="71"/>
        <v>1151364.1800000002</v>
      </c>
      <c r="U109" s="344">
        <f t="shared" si="71"/>
        <v>1570650</v>
      </c>
      <c r="V109" s="344">
        <f t="shared" si="71"/>
        <v>0</v>
      </c>
      <c r="W109" s="344">
        <f t="shared" si="71"/>
        <v>0</v>
      </c>
      <c r="X109" s="344">
        <f t="shared" si="71"/>
        <v>0</v>
      </c>
      <c r="Y109" s="344"/>
      <c r="Z109" s="344"/>
      <c r="AA109" s="344">
        <f t="shared" ref="AA109:AC109" si="73">SUM(AA100:AA108)</f>
        <v>0</v>
      </c>
      <c r="AB109" s="344">
        <f t="shared" si="73"/>
        <v>7946306.9900000002</v>
      </c>
      <c r="AC109" s="344">
        <f t="shared" si="73"/>
        <v>5137984.8100000005</v>
      </c>
    </row>
    <row r="111" spans="8:29" ht="26.25" x14ac:dyDescent="0.4">
      <c r="H111" s="331" t="s">
        <v>230</v>
      </c>
      <c r="I111" s="332"/>
      <c r="J111" s="333">
        <f>SUM(J112:J120)</f>
        <v>0.99999999999999989</v>
      </c>
      <c r="K111" s="334">
        <f>$D$25</f>
        <v>16382594.799999999</v>
      </c>
      <c r="L111" s="332"/>
      <c r="M111" s="332"/>
      <c r="N111" s="336">
        <v>42709</v>
      </c>
      <c r="O111" s="332"/>
      <c r="P111" s="336">
        <v>42755</v>
      </c>
      <c r="Q111" s="332"/>
      <c r="R111" s="332"/>
      <c r="S111" s="336">
        <v>42958</v>
      </c>
      <c r="T111" s="332"/>
      <c r="U111" s="336"/>
      <c r="V111" s="336">
        <v>43175</v>
      </c>
      <c r="W111" s="332"/>
      <c r="X111" s="332"/>
      <c r="Y111" s="332"/>
      <c r="Z111" s="332"/>
      <c r="AA111" s="332"/>
      <c r="AB111" s="332"/>
      <c r="AC111" s="337" t="s">
        <v>207</v>
      </c>
    </row>
    <row r="112" spans="8:29" x14ac:dyDescent="0.25">
      <c r="H112" s="272"/>
      <c r="I112" s="276" t="s">
        <v>126</v>
      </c>
      <c r="J112" s="274">
        <v>0</v>
      </c>
      <c r="K112" s="275">
        <f>+K$111*J112</f>
        <v>0</v>
      </c>
      <c r="L112" s="276">
        <f t="shared" ref="L112:M120" si="74">L44</f>
        <v>7</v>
      </c>
      <c r="M112" s="277">
        <f t="shared" si="74"/>
        <v>42621</v>
      </c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5">
        <f t="shared" ref="AB112:AB120" si="75">SUM(N112:AA112)</f>
        <v>0</v>
      </c>
      <c r="AC112" s="275">
        <f t="shared" ref="AC112:AC120" si="76">+K112-AB112</f>
        <v>0</v>
      </c>
    </row>
    <row r="113" spans="8:29" x14ac:dyDescent="0.25">
      <c r="H113" s="272" t="s">
        <v>127</v>
      </c>
      <c r="I113" s="276" t="s">
        <v>128</v>
      </c>
      <c r="J113" s="274">
        <v>0.15</v>
      </c>
      <c r="K113" s="275">
        <f t="shared" ref="K113:K119" si="77">+K$111*J113</f>
        <v>2457389.2199999997</v>
      </c>
      <c r="L113" s="276">
        <f t="shared" si="74"/>
        <v>15</v>
      </c>
      <c r="M113" s="277">
        <f t="shared" si="74"/>
        <v>42629</v>
      </c>
      <c r="N113" s="297">
        <f>+K113</f>
        <v>2457389.2199999997</v>
      </c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5">
        <f t="shared" si="75"/>
        <v>2457389.2199999997</v>
      </c>
      <c r="AC113" s="275">
        <f t="shared" si="76"/>
        <v>0</v>
      </c>
    </row>
    <row r="114" spans="8:29" x14ac:dyDescent="0.25">
      <c r="H114" s="272" t="s">
        <v>129</v>
      </c>
      <c r="I114" s="276" t="s">
        <v>130</v>
      </c>
      <c r="J114" s="274">
        <v>0.1</v>
      </c>
      <c r="K114" s="275">
        <f t="shared" si="77"/>
        <v>1638259.48</v>
      </c>
      <c r="L114" s="276">
        <f t="shared" si="74"/>
        <v>45</v>
      </c>
      <c r="M114" s="277">
        <f t="shared" si="74"/>
        <v>42659</v>
      </c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5">
        <f t="shared" si="75"/>
        <v>0</v>
      </c>
      <c r="AC114" s="275">
        <f t="shared" si="76"/>
        <v>1638259.48</v>
      </c>
    </row>
    <row r="115" spans="8:29" x14ac:dyDescent="0.25">
      <c r="H115" s="272" t="s">
        <v>131</v>
      </c>
      <c r="I115" s="276" t="s">
        <v>132</v>
      </c>
      <c r="J115" s="274">
        <v>0.1</v>
      </c>
      <c r="K115" s="275">
        <f t="shared" si="77"/>
        <v>1638259.48</v>
      </c>
      <c r="L115" s="276">
        <f t="shared" si="74"/>
        <v>60</v>
      </c>
      <c r="M115" s="277">
        <f t="shared" si="74"/>
        <v>42674</v>
      </c>
      <c r="N115" s="276"/>
      <c r="O115" s="276"/>
      <c r="P115" s="297">
        <f>+K115</f>
        <v>1638259.48</v>
      </c>
      <c r="Q115" s="276"/>
      <c r="R115" s="297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5">
        <f t="shared" si="75"/>
        <v>1638259.48</v>
      </c>
      <c r="AC115" s="275">
        <f t="shared" si="76"/>
        <v>0</v>
      </c>
    </row>
    <row r="116" spans="8:29" x14ac:dyDescent="0.25">
      <c r="H116" s="272" t="s">
        <v>133</v>
      </c>
      <c r="I116" s="276" t="s">
        <v>134</v>
      </c>
      <c r="J116" s="274">
        <v>0.1</v>
      </c>
      <c r="K116" s="275">
        <f t="shared" si="77"/>
        <v>1638259.48</v>
      </c>
      <c r="L116" s="276">
        <f t="shared" si="74"/>
        <v>150</v>
      </c>
      <c r="M116" s="277">
        <f t="shared" si="74"/>
        <v>42764</v>
      </c>
      <c r="N116" s="276"/>
      <c r="O116" s="276"/>
      <c r="P116" s="297">
        <f>+K116</f>
        <v>1638259.48</v>
      </c>
      <c r="Q116" s="276"/>
      <c r="R116" s="297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5">
        <f t="shared" si="75"/>
        <v>1638259.48</v>
      </c>
      <c r="AC116" s="275">
        <f t="shared" si="76"/>
        <v>0</v>
      </c>
    </row>
    <row r="117" spans="8:29" x14ac:dyDescent="0.25">
      <c r="H117" s="272" t="s">
        <v>135</v>
      </c>
      <c r="I117" s="276" t="s">
        <v>136</v>
      </c>
      <c r="J117" s="274">
        <v>0.25</v>
      </c>
      <c r="K117" s="275">
        <f t="shared" si="77"/>
        <v>4095648.6999999997</v>
      </c>
      <c r="L117" s="276">
        <f t="shared" si="74"/>
        <v>270</v>
      </c>
      <c r="M117" s="277">
        <f t="shared" si="74"/>
        <v>42884</v>
      </c>
      <c r="N117" s="276"/>
      <c r="O117" s="276"/>
      <c r="P117" s="297">
        <f>+K117</f>
        <v>4095648.6999999997</v>
      </c>
      <c r="Q117" s="276"/>
      <c r="R117" s="297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5">
        <f t="shared" si="75"/>
        <v>4095648.6999999997</v>
      </c>
      <c r="AC117" s="275">
        <f t="shared" si="76"/>
        <v>0</v>
      </c>
    </row>
    <row r="118" spans="8:29" x14ac:dyDescent="0.25">
      <c r="H118" s="272" t="s">
        <v>137</v>
      </c>
      <c r="I118" s="276" t="s">
        <v>138</v>
      </c>
      <c r="J118" s="274">
        <v>0.2</v>
      </c>
      <c r="K118" s="275">
        <f t="shared" si="77"/>
        <v>3276518.96</v>
      </c>
      <c r="L118" s="276">
        <f t="shared" si="74"/>
        <v>270</v>
      </c>
      <c r="M118" s="277">
        <f t="shared" si="74"/>
        <v>42884</v>
      </c>
      <c r="N118" s="276"/>
      <c r="O118" s="276"/>
      <c r="P118" s="276"/>
      <c r="Q118" s="276"/>
      <c r="R118" s="276"/>
      <c r="S118" s="276">
        <f>+K118</f>
        <v>3276518.96</v>
      </c>
      <c r="T118" s="276"/>
      <c r="U118" s="276"/>
      <c r="V118" s="276"/>
      <c r="W118" s="276"/>
      <c r="X118" s="297"/>
      <c r="Y118" s="297"/>
      <c r="Z118" s="297"/>
      <c r="AA118" s="276"/>
      <c r="AB118" s="275">
        <f t="shared" si="75"/>
        <v>3276518.96</v>
      </c>
      <c r="AC118" s="275">
        <f t="shared" si="76"/>
        <v>0</v>
      </c>
    </row>
    <row r="119" spans="8:29" x14ac:dyDescent="0.25">
      <c r="H119" s="272" t="s">
        <v>139</v>
      </c>
      <c r="I119" s="338" t="s">
        <v>140</v>
      </c>
      <c r="J119" s="279">
        <v>0.1</v>
      </c>
      <c r="K119" s="275">
        <f t="shared" si="77"/>
        <v>1638259.48</v>
      </c>
      <c r="L119" s="276">
        <f t="shared" si="74"/>
        <v>300</v>
      </c>
      <c r="M119" s="277">
        <f t="shared" si="74"/>
        <v>42914</v>
      </c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5">
        <f t="shared" si="75"/>
        <v>0</v>
      </c>
      <c r="AC119" s="275">
        <f t="shared" si="76"/>
        <v>1638259.48</v>
      </c>
    </row>
    <row r="120" spans="8:29" x14ac:dyDescent="0.25">
      <c r="H120" s="272" t="s">
        <v>141</v>
      </c>
      <c r="I120" s="338" t="s">
        <v>142</v>
      </c>
      <c r="J120" s="279"/>
      <c r="K120" s="275">
        <f>+E25</f>
        <v>1825350</v>
      </c>
      <c r="L120" s="276">
        <f t="shared" si="74"/>
        <v>300</v>
      </c>
      <c r="M120" s="277">
        <f t="shared" si="74"/>
        <v>42914</v>
      </c>
      <c r="N120" s="276"/>
      <c r="O120" s="276"/>
      <c r="P120" s="276"/>
      <c r="Q120" s="276"/>
      <c r="R120" s="276"/>
      <c r="S120" s="276"/>
      <c r="T120" s="276"/>
      <c r="U120" s="276"/>
      <c r="V120" s="275">
        <f>+K120</f>
        <v>1825350</v>
      </c>
      <c r="W120" s="276"/>
      <c r="X120" s="276"/>
      <c r="Y120" s="276"/>
      <c r="Z120" s="276"/>
      <c r="AA120" s="276"/>
      <c r="AB120" s="275">
        <f t="shared" si="75"/>
        <v>1825350</v>
      </c>
      <c r="AC120" s="275">
        <f t="shared" si="76"/>
        <v>0</v>
      </c>
    </row>
    <row r="121" spans="8:29" s="93" customFormat="1" x14ac:dyDescent="0.25">
      <c r="H121" s="339"/>
      <c r="I121" s="340" t="s">
        <v>226</v>
      </c>
      <c r="J121" s="341"/>
      <c r="K121" s="342"/>
      <c r="L121" s="340"/>
      <c r="M121" s="343"/>
      <c r="N121" s="344">
        <f>SUM(N112:N120)</f>
        <v>2457389.2199999997</v>
      </c>
      <c r="O121" s="344">
        <f>SUM(O112:O120)</f>
        <v>0</v>
      </c>
      <c r="P121" s="344">
        <f t="shared" ref="P121:X121" si="78">SUM(P112:P120)</f>
        <v>7372167.6600000001</v>
      </c>
      <c r="Q121" s="344">
        <f t="shared" si="78"/>
        <v>0</v>
      </c>
      <c r="R121" s="344">
        <f t="shared" si="78"/>
        <v>0</v>
      </c>
      <c r="S121" s="344">
        <f t="shared" si="78"/>
        <v>3276518.96</v>
      </c>
      <c r="T121" s="344">
        <f t="shared" si="78"/>
        <v>0</v>
      </c>
      <c r="U121" s="344">
        <f t="shared" si="78"/>
        <v>0</v>
      </c>
      <c r="V121" s="344">
        <f t="shared" si="78"/>
        <v>1825350</v>
      </c>
      <c r="W121" s="344">
        <f t="shared" si="78"/>
        <v>0</v>
      </c>
      <c r="X121" s="344">
        <f t="shared" si="78"/>
        <v>0</v>
      </c>
      <c r="Y121" s="344"/>
      <c r="Z121" s="344"/>
      <c r="AA121" s="344">
        <f t="shared" ref="AA121:AC121" si="79">SUM(AA112:AA120)</f>
        <v>0</v>
      </c>
      <c r="AB121" s="344">
        <f t="shared" si="79"/>
        <v>14931425.84</v>
      </c>
      <c r="AC121" s="344">
        <f t="shared" si="79"/>
        <v>3276518.96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26"/>
  <sheetViews>
    <sheetView tabSelected="1" topLeftCell="B1" zoomScale="115" zoomScaleNormal="115" workbookViewId="0">
      <selection activeCell="C5" sqref="C5:F13"/>
    </sheetView>
  </sheetViews>
  <sheetFormatPr defaultRowHeight="15" x14ac:dyDescent="0.25"/>
  <cols>
    <col min="3" max="3" width="12" bestFit="1" customWidth="1"/>
    <col min="6" max="6" width="13.42578125" bestFit="1" customWidth="1"/>
    <col min="8" max="8" width="11" bestFit="1" customWidth="1"/>
    <col min="16" max="16" width="11" bestFit="1" customWidth="1"/>
  </cols>
  <sheetData>
    <row r="4" spans="3:18" x14ac:dyDescent="0.25">
      <c r="C4">
        <v>56789043</v>
      </c>
      <c r="D4" t="s">
        <v>295</v>
      </c>
      <c r="K4">
        <v>7893676.9770000009</v>
      </c>
      <c r="P4" s="461" t="s">
        <v>290</v>
      </c>
      <c r="Q4" s="461" t="s">
        <v>282</v>
      </c>
      <c r="R4" t="s">
        <v>128</v>
      </c>
    </row>
    <row r="5" spans="3:18" x14ac:dyDescent="0.25">
      <c r="C5" t="s">
        <v>251</v>
      </c>
      <c r="D5" t="s">
        <v>282</v>
      </c>
      <c r="E5" s="504">
        <v>0.15</v>
      </c>
      <c r="F5">
        <f>+$C$4*E5</f>
        <v>8518356.4499999993</v>
      </c>
      <c r="H5" s="461" t="s">
        <v>290</v>
      </c>
      <c r="I5" s="461" t="s">
        <v>282</v>
      </c>
      <c r="J5" s="504">
        <v>0.15</v>
      </c>
      <c r="K5">
        <f>+K$4*J5</f>
        <v>1184051.5465500001</v>
      </c>
      <c r="P5" s="461" t="s">
        <v>290</v>
      </c>
      <c r="Q5" s="461" t="s">
        <v>283</v>
      </c>
      <c r="R5" t="s">
        <v>136</v>
      </c>
    </row>
    <row r="6" spans="3:18" x14ac:dyDescent="0.25">
      <c r="D6" t="s">
        <v>283</v>
      </c>
      <c r="E6" s="504">
        <v>0.1</v>
      </c>
      <c r="F6">
        <f t="shared" ref="F6:F11" si="0">+$C$4*E6</f>
        <v>5678904.3000000007</v>
      </c>
      <c r="I6" t="s">
        <v>283</v>
      </c>
      <c r="J6" s="504">
        <v>0.1</v>
      </c>
      <c r="K6">
        <f t="shared" ref="K6:K11" si="1">+K$4*J6</f>
        <v>789367.69770000014</v>
      </c>
      <c r="M6">
        <f>+K6</f>
        <v>789367.69770000014</v>
      </c>
      <c r="P6" s="461" t="s">
        <v>290</v>
      </c>
      <c r="Q6" s="461" t="s">
        <v>284</v>
      </c>
      <c r="R6" t="s">
        <v>138</v>
      </c>
    </row>
    <row r="7" spans="3:18" x14ac:dyDescent="0.25">
      <c r="D7" t="s">
        <v>284</v>
      </c>
      <c r="E7" s="504">
        <v>0.1</v>
      </c>
      <c r="F7">
        <f t="shared" si="0"/>
        <v>5678904.3000000007</v>
      </c>
      <c r="I7" t="s">
        <v>284</v>
      </c>
      <c r="J7" s="504">
        <v>0.1</v>
      </c>
      <c r="K7">
        <f t="shared" si="1"/>
        <v>789367.69770000014</v>
      </c>
      <c r="N7">
        <f>+K7</f>
        <v>789367.69770000014</v>
      </c>
      <c r="P7" s="461" t="s">
        <v>290</v>
      </c>
      <c r="Q7" s="461" t="s">
        <v>285</v>
      </c>
      <c r="R7" t="s">
        <v>140</v>
      </c>
    </row>
    <row r="8" spans="3:18" x14ac:dyDescent="0.25">
      <c r="D8" t="s">
        <v>285</v>
      </c>
      <c r="E8" s="504">
        <v>0.1</v>
      </c>
      <c r="F8">
        <f t="shared" si="0"/>
        <v>5678904.3000000007</v>
      </c>
      <c r="I8" t="s">
        <v>285</v>
      </c>
      <c r="J8" s="504">
        <v>0.1</v>
      </c>
      <c r="K8">
        <f t="shared" si="1"/>
        <v>789367.69770000014</v>
      </c>
    </row>
    <row r="9" spans="3:18" x14ac:dyDescent="0.25">
      <c r="D9" t="s">
        <v>286</v>
      </c>
      <c r="E9" s="504">
        <v>0.25</v>
      </c>
      <c r="F9">
        <f t="shared" si="0"/>
        <v>14197260.75</v>
      </c>
      <c r="I9" t="s">
        <v>286</v>
      </c>
      <c r="J9" s="504">
        <v>0.25</v>
      </c>
      <c r="K9">
        <f t="shared" si="1"/>
        <v>1973419.2442500002</v>
      </c>
    </row>
    <row r="10" spans="3:18" x14ac:dyDescent="0.25">
      <c r="D10" t="s">
        <v>287</v>
      </c>
      <c r="E10" s="504">
        <v>0.2</v>
      </c>
      <c r="F10">
        <f t="shared" si="0"/>
        <v>11357808.600000001</v>
      </c>
      <c r="I10" t="s">
        <v>287</v>
      </c>
      <c r="J10" s="504">
        <v>0.2</v>
      </c>
      <c r="K10">
        <f t="shared" si="1"/>
        <v>1578735.3954000003</v>
      </c>
    </row>
    <row r="11" spans="3:18" x14ac:dyDescent="0.25">
      <c r="D11" t="s">
        <v>288</v>
      </c>
      <c r="E11" s="504">
        <v>0.1</v>
      </c>
      <c r="F11">
        <f t="shared" si="0"/>
        <v>5678904.3000000007</v>
      </c>
      <c r="I11" t="s">
        <v>288</v>
      </c>
      <c r="J11" s="504">
        <v>0.1</v>
      </c>
      <c r="K11">
        <f t="shared" si="1"/>
        <v>789367.69770000014</v>
      </c>
    </row>
    <row r="12" spans="3:18" x14ac:dyDescent="0.25">
      <c r="D12" t="s">
        <v>303</v>
      </c>
      <c r="F12">
        <f>SUM(F5:F11)*2.5%</f>
        <v>1419726.0750000002</v>
      </c>
      <c r="I12" t="s">
        <v>303</v>
      </c>
      <c r="P12" s="461" t="s">
        <v>291</v>
      </c>
      <c r="Q12" s="461" t="s">
        <v>282</v>
      </c>
      <c r="R12" t="s">
        <v>128</v>
      </c>
    </row>
    <row r="13" spans="3:18" x14ac:dyDescent="0.25">
      <c r="D13" t="s">
        <v>304</v>
      </c>
      <c r="F13">
        <f>F12</f>
        <v>1419726.0750000002</v>
      </c>
      <c r="I13" t="s">
        <v>304</v>
      </c>
      <c r="P13" s="461" t="s">
        <v>291</v>
      </c>
      <c r="Q13" s="461" t="s">
        <v>283</v>
      </c>
      <c r="R13" t="s">
        <v>130</v>
      </c>
    </row>
    <row r="14" spans="3:18" x14ac:dyDescent="0.25">
      <c r="F14">
        <f>SUM(F5:F12)</f>
        <v>58208769.075000003</v>
      </c>
      <c r="P14" s="461" t="s">
        <v>291</v>
      </c>
      <c r="Q14" s="461" t="s">
        <v>284</v>
      </c>
      <c r="R14" t="s">
        <v>132</v>
      </c>
    </row>
    <row r="15" spans="3:18" x14ac:dyDescent="0.25">
      <c r="H15" t="s">
        <v>291</v>
      </c>
      <c r="I15" t="s">
        <v>282</v>
      </c>
      <c r="J15" s="504">
        <v>0.15</v>
      </c>
      <c r="P15" s="461" t="s">
        <v>291</v>
      </c>
      <c r="Q15" s="461" t="s">
        <v>285</v>
      </c>
      <c r="R15" t="s">
        <v>134</v>
      </c>
    </row>
    <row r="16" spans="3:18" x14ac:dyDescent="0.25">
      <c r="I16" t="s">
        <v>283</v>
      </c>
      <c r="J16" s="504">
        <v>0.1</v>
      </c>
      <c r="P16" s="461" t="s">
        <v>291</v>
      </c>
      <c r="Q16" s="461" t="s">
        <v>286</v>
      </c>
      <c r="R16" t="s">
        <v>136</v>
      </c>
    </row>
    <row r="17" spans="3:18" x14ac:dyDescent="0.25">
      <c r="I17" t="s">
        <v>284</v>
      </c>
      <c r="J17" s="504">
        <v>0.1</v>
      </c>
      <c r="P17" s="461" t="s">
        <v>291</v>
      </c>
      <c r="Q17" s="461" t="s">
        <v>287</v>
      </c>
      <c r="R17" t="s">
        <v>138</v>
      </c>
    </row>
    <row r="18" spans="3:18" x14ac:dyDescent="0.25">
      <c r="C18" t="s">
        <v>290</v>
      </c>
      <c r="E18">
        <v>13.9</v>
      </c>
      <c r="F18">
        <f>+F$14/E$23*E18</f>
        <v>8091018.9014250012</v>
      </c>
      <c r="I18" t="s">
        <v>285</v>
      </c>
      <c r="J18" s="504">
        <v>0.1</v>
      </c>
      <c r="P18" s="461" t="s">
        <v>291</v>
      </c>
      <c r="Q18" s="461" t="s">
        <v>288</v>
      </c>
      <c r="R18" t="s">
        <v>140</v>
      </c>
    </row>
    <row r="19" spans="3:18" x14ac:dyDescent="0.25">
      <c r="C19" t="s">
        <v>291</v>
      </c>
      <c r="E19">
        <v>22</v>
      </c>
      <c r="F19">
        <f>+F$14/E$23*E19</f>
        <v>12805929.196500001</v>
      </c>
      <c r="I19" t="s">
        <v>286</v>
      </c>
      <c r="J19" s="504">
        <v>0.25</v>
      </c>
      <c r="Q19" s="461" t="s">
        <v>289</v>
      </c>
    </row>
    <row r="20" spans="3:18" x14ac:dyDescent="0.25">
      <c r="C20" t="s">
        <v>292</v>
      </c>
      <c r="E20">
        <v>15.4</v>
      </c>
      <c r="F20">
        <f>+F$14/E$23*E20</f>
        <v>8964150.4375500008</v>
      </c>
      <c r="I20" t="s">
        <v>287</v>
      </c>
      <c r="J20" s="504">
        <v>0.2</v>
      </c>
    </row>
    <row r="21" spans="3:18" x14ac:dyDescent="0.25">
      <c r="C21" t="s">
        <v>293</v>
      </c>
      <c r="E21">
        <v>20.100000000000001</v>
      </c>
      <c r="F21">
        <f>+F$14/E$23*E21</f>
        <v>11699962.584075002</v>
      </c>
      <c r="I21" t="s">
        <v>288</v>
      </c>
      <c r="J21" s="504">
        <v>0.1</v>
      </c>
      <c r="M21" t="s">
        <v>261</v>
      </c>
    </row>
    <row r="22" spans="3:18" x14ac:dyDescent="0.25">
      <c r="C22" t="s">
        <v>294</v>
      </c>
      <c r="E22">
        <v>28.6</v>
      </c>
      <c r="F22">
        <f>+F$14/E$23*E22</f>
        <v>16647707.955450002</v>
      </c>
      <c r="I22" t="s">
        <v>303</v>
      </c>
      <c r="N22" t="s">
        <v>296</v>
      </c>
    </row>
    <row r="23" spans="3:18" x14ac:dyDescent="0.25">
      <c r="E23">
        <f>SUM(E18:E22)</f>
        <v>100</v>
      </c>
      <c r="F23">
        <f>SUM(F18:F22)</f>
        <v>58208769.075000003</v>
      </c>
      <c r="I23" t="s">
        <v>304</v>
      </c>
      <c r="N23" t="s">
        <v>297</v>
      </c>
    </row>
    <row r="24" spans="3:18" x14ac:dyDescent="0.25">
      <c r="H24" t="s">
        <v>292</v>
      </c>
      <c r="O24" t="s">
        <v>298</v>
      </c>
    </row>
    <row r="25" spans="3:18" x14ac:dyDescent="0.25">
      <c r="H25" t="s">
        <v>293</v>
      </c>
      <c r="P25" t="s">
        <v>259</v>
      </c>
      <c r="Q25" t="s">
        <v>301</v>
      </c>
      <c r="R25" t="s">
        <v>300</v>
      </c>
    </row>
    <row r="26" spans="3:18" x14ac:dyDescent="0.25">
      <c r="H26" t="s">
        <v>294</v>
      </c>
      <c r="P26" t="s">
        <v>299</v>
      </c>
      <c r="Q26" s="505">
        <v>0.08</v>
      </c>
      <c r="R26" s="505">
        <v>7.0000000000000007E-2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"/>
  <sheetViews>
    <sheetView zoomScale="70" zoomScaleNormal="70" workbookViewId="0"/>
  </sheetViews>
  <sheetFormatPr defaultRowHeight="15" x14ac:dyDescent="0.25"/>
  <cols>
    <col min="2" max="2" width="14.42578125" customWidth="1"/>
    <col min="4" max="4" width="39.7109375" customWidth="1"/>
    <col min="5" max="5" width="11.42578125" customWidth="1"/>
    <col min="6" max="6" width="13.28515625" customWidth="1"/>
    <col min="7" max="7" width="8.85546875" style="450"/>
    <col min="8" max="8" width="14.140625" style="450" customWidth="1"/>
    <col min="12" max="12" width="10.28515625" bestFit="1" customWidth="1"/>
    <col min="15" max="15" width="12" customWidth="1"/>
  </cols>
  <sheetData>
    <row r="1" spans="2:17" x14ac:dyDescent="0.25">
      <c r="I1" t="s">
        <v>261</v>
      </c>
      <c r="J1" t="s">
        <v>262</v>
      </c>
      <c r="K1" t="s">
        <v>260</v>
      </c>
    </row>
    <row r="2" spans="2:17" ht="15.75" thickBot="1" x14ac:dyDescent="0.3">
      <c r="K2" t="s">
        <v>257</v>
      </c>
      <c r="L2" t="s">
        <v>258</v>
      </c>
      <c r="M2" t="s">
        <v>259</v>
      </c>
    </row>
    <row r="3" spans="2:17" ht="24" thickBot="1" x14ac:dyDescent="0.4">
      <c r="B3" s="451" t="s">
        <v>160</v>
      </c>
      <c r="C3" s="452"/>
      <c r="D3" s="452"/>
      <c r="E3" s="452"/>
      <c r="F3" s="452"/>
      <c r="G3" s="453"/>
      <c r="H3" s="454"/>
      <c r="I3" t="s">
        <v>251</v>
      </c>
      <c r="J3" t="s">
        <v>263</v>
      </c>
      <c r="K3" t="s">
        <v>264</v>
      </c>
      <c r="L3" s="457">
        <v>43679</v>
      </c>
      <c r="M3">
        <v>4</v>
      </c>
    </row>
    <row r="4" spans="2:17" ht="60" x14ac:dyDescent="0.25">
      <c r="B4" s="112"/>
      <c r="C4" s="436" t="s">
        <v>163</v>
      </c>
      <c r="D4" s="437" t="s">
        <v>164</v>
      </c>
      <c r="E4" s="438" t="s">
        <v>162</v>
      </c>
      <c r="F4" s="437" t="s">
        <v>121</v>
      </c>
      <c r="G4" s="439" t="s">
        <v>174</v>
      </c>
      <c r="H4" s="440" t="s">
        <v>175</v>
      </c>
      <c r="J4" s="459" t="s">
        <v>265</v>
      </c>
      <c r="K4" s="458"/>
      <c r="L4" s="459" t="s">
        <v>278</v>
      </c>
    </row>
    <row r="5" spans="2:17" x14ac:dyDescent="0.25">
      <c r="B5" s="115"/>
      <c r="C5" s="240"/>
      <c r="D5" s="116" t="s">
        <v>150</v>
      </c>
      <c r="E5" s="120"/>
      <c r="F5" s="118">
        <v>13.9</v>
      </c>
      <c r="G5" s="441"/>
      <c r="H5" s="442"/>
      <c r="J5" s="458" t="s">
        <v>263</v>
      </c>
      <c r="K5" s="458"/>
      <c r="L5" s="458" t="s">
        <v>266</v>
      </c>
    </row>
    <row r="6" spans="2:17" x14ac:dyDescent="0.25">
      <c r="B6" s="115"/>
      <c r="C6" s="240"/>
      <c r="D6" s="116"/>
      <c r="E6" s="120"/>
      <c r="F6" s="118"/>
      <c r="G6" s="441"/>
      <c r="H6" s="442"/>
    </row>
    <row r="7" spans="2:17" x14ac:dyDescent="0.25">
      <c r="B7" s="115" t="s">
        <v>251</v>
      </c>
      <c r="C7" s="240" t="s">
        <v>143</v>
      </c>
      <c r="D7" s="116" t="s">
        <v>126</v>
      </c>
      <c r="E7" s="120">
        <v>0.1</v>
      </c>
      <c r="F7" s="121">
        <v>796217.02</v>
      </c>
      <c r="G7" s="145">
        <v>15</v>
      </c>
      <c r="H7" s="443">
        <v>42106</v>
      </c>
    </row>
    <row r="8" spans="2:17" x14ac:dyDescent="0.25">
      <c r="B8" s="115" t="s">
        <v>251</v>
      </c>
      <c r="C8" s="240" t="s">
        <v>127</v>
      </c>
      <c r="D8" s="116" t="s">
        <v>128</v>
      </c>
      <c r="E8" s="120">
        <v>0.1</v>
      </c>
      <c r="F8" s="121">
        <v>796217.02</v>
      </c>
      <c r="G8" s="444">
        <v>30</v>
      </c>
      <c r="H8" s="443">
        <v>42121</v>
      </c>
    </row>
    <row r="9" spans="2:17" x14ac:dyDescent="0.25">
      <c r="B9" s="115" t="s">
        <v>251</v>
      </c>
      <c r="C9" s="240" t="s">
        <v>129</v>
      </c>
      <c r="D9" s="116" t="s">
        <v>130</v>
      </c>
      <c r="E9" s="120">
        <v>0.1</v>
      </c>
      <c r="F9" s="121">
        <v>796217.02</v>
      </c>
      <c r="G9" s="444">
        <v>120</v>
      </c>
      <c r="H9" s="443">
        <v>42211</v>
      </c>
    </row>
    <row r="10" spans="2:17" x14ac:dyDescent="0.25">
      <c r="B10" s="115" t="s">
        <v>251</v>
      </c>
      <c r="C10" s="240" t="s">
        <v>131</v>
      </c>
      <c r="D10" s="116" t="s">
        <v>132</v>
      </c>
      <c r="E10" s="120">
        <v>0.1</v>
      </c>
      <c r="F10" s="121">
        <v>796217.02</v>
      </c>
      <c r="G10" s="444">
        <v>30</v>
      </c>
      <c r="H10" s="443">
        <v>42121</v>
      </c>
    </row>
    <row r="11" spans="2:17" x14ac:dyDescent="0.25">
      <c r="B11" s="115" t="s">
        <v>251</v>
      </c>
      <c r="C11" s="240" t="s">
        <v>133</v>
      </c>
      <c r="D11" s="116" t="s">
        <v>134</v>
      </c>
      <c r="E11" s="120">
        <v>0.1</v>
      </c>
      <c r="F11" s="121">
        <v>796217.02</v>
      </c>
      <c r="G11" s="444">
        <v>150</v>
      </c>
      <c r="H11" s="443">
        <v>42241</v>
      </c>
      <c r="J11" s="110">
        <f>+F11</f>
        <v>796217.02</v>
      </c>
      <c r="L11">
        <v>1990542.55</v>
      </c>
    </row>
    <row r="12" spans="2:17" x14ac:dyDescent="0.25">
      <c r="B12" s="115" t="s">
        <v>251</v>
      </c>
      <c r="C12" s="240" t="s">
        <v>135</v>
      </c>
      <c r="D12" s="116" t="s">
        <v>136</v>
      </c>
      <c r="E12" s="120">
        <v>0.2</v>
      </c>
      <c r="F12" s="121">
        <v>1592434.04</v>
      </c>
      <c r="G12" s="444">
        <v>180</v>
      </c>
      <c r="H12" s="443">
        <v>42271</v>
      </c>
    </row>
    <row r="13" spans="2:17" x14ac:dyDescent="0.25">
      <c r="B13" s="115" t="s">
        <v>251</v>
      </c>
      <c r="C13" s="240" t="s">
        <v>137</v>
      </c>
      <c r="D13" s="116" t="s">
        <v>138</v>
      </c>
      <c r="E13" s="120">
        <v>0.2</v>
      </c>
      <c r="F13" s="121">
        <v>1592434.04</v>
      </c>
      <c r="G13" s="444">
        <v>240</v>
      </c>
      <c r="H13" s="443">
        <v>42331</v>
      </c>
    </row>
    <row r="14" spans="2:17" x14ac:dyDescent="0.25">
      <c r="B14" s="115" t="s">
        <v>251</v>
      </c>
      <c r="C14" s="240" t="s">
        <v>139</v>
      </c>
      <c r="D14" s="116" t="s">
        <v>140</v>
      </c>
      <c r="E14" s="120">
        <v>0.1</v>
      </c>
      <c r="F14" s="121">
        <v>796217.02</v>
      </c>
      <c r="G14" s="444">
        <v>300</v>
      </c>
      <c r="H14" s="443">
        <v>42391</v>
      </c>
    </row>
    <row r="15" spans="2:17" x14ac:dyDescent="0.25">
      <c r="B15" s="115" t="s">
        <v>251</v>
      </c>
      <c r="C15" s="240"/>
      <c r="D15" s="116"/>
      <c r="E15" s="120">
        <f>SUM(E7:E14)</f>
        <v>0.99999999999999989</v>
      </c>
      <c r="F15" s="127">
        <v>7962170.2000000011</v>
      </c>
      <c r="G15" s="445"/>
      <c r="H15" s="446"/>
      <c r="Q15" t="s">
        <v>259</v>
      </c>
    </row>
    <row r="16" spans="2:17" x14ac:dyDescent="0.25">
      <c r="B16" s="115" t="s">
        <v>251</v>
      </c>
      <c r="C16" s="240" t="s">
        <v>141</v>
      </c>
      <c r="D16" s="116" t="s">
        <v>142</v>
      </c>
      <c r="E16" s="120"/>
      <c r="F16" s="116">
        <v>0</v>
      </c>
      <c r="G16" s="145"/>
      <c r="H16" s="447"/>
      <c r="L16">
        <v>13</v>
      </c>
      <c r="O16" t="s">
        <v>267</v>
      </c>
      <c r="P16" s="460" t="s">
        <v>268</v>
      </c>
    </row>
    <row r="17" spans="2:16" x14ac:dyDescent="0.25">
      <c r="B17" s="115" t="s">
        <v>251</v>
      </c>
      <c r="C17" s="240" t="s">
        <v>161</v>
      </c>
      <c r="D17" s="116" t="s">
        <v>112</v>
      </c>
      <c r="E17" s="120"/>
      <c r="F17" s="116">
        <v>0</v>
      </c>
      <c r="G17" s="145"/>
      <c r="H17" s="447"/>
      <c r="L17">
        <v>12</v>
      </c>
      <c r="P17" s="460" t="s">
        <v>269</v>
      </c>
    </row>
    <row r="18" spans="2:16" x14ac:dyDescent="0.25">
      <c r="B18" s="115" t="s">
        <v>251</v>
      </c>
      <c r="C18" s="240" t="s">
        <v>252</v>
      </c>
      <c r="D18" s="145" t="s">
        <v>253</v>
      </c>
      <c r="E18" s="435">
        <v>0.02</v>
      </c>
      <c r="F18" s="116"/>
      <c r="G18" s="145"/>
      <c r="H18" s="447"/>
      <c r="J18" s="110">
        <f>+J11*2%</f>
        <v>15924.340400000001</v>
      </c>
      <c r="L18">
        <v>12</v>
      </c>
      <c r="P18" s="461" t="s">
        <v>270</v>
      </c>
    </row>
    <row r="19" spans="2:16" ht="15.75" thickBot="1" x14ac:dyDescent="0.3">
      <c r="B19" s="123"/>
      <c r="C19" s="241"/>
      <c r="D19" s="124"/>
      <c r="E19" s="124"/>
      <c r="F19" s="124"/>
      <c r="G19" s="448"/>
      <c r="H19" s="449"/>
      <c r="P19" t="s">
        <v>271</v>
      </c>
    </row>
    <row r="20" spans="2:16" x14ac:dyDescent="0.25">
      <c r="J20">
        <f>SUM(J4:J19)</f>
        <v>812141.36040000001</v>
      </c>
      <c r="L20">
        <f>SUM(L4:L19)</f>
        <v>1990579.55</v>
      </c>
      <c r="P20" t="s">
        <v>272</v>
      </c>
    </row>
    <row r="21" spans="2:16" x14ac:dyDescent="0.25">
      <c r="P21" s="460" t="s">
        <v>274</v>
      </c>
    </row>
    <row r="22" spans="2:16" x14ac:dyDescent="0.25">
      <c r="P22" s="460" t="s">
        <v>275</v>
      </c>
    </row>
    <row r="23" spans="2:16" x14ac:dyDescent="0.25">
      <c r="P23" s="460" t="s">
        <v>276</v>
      </c>
    </row>
    <row r="24" spans="2:16" x14ac:dyDescent="0.25">
      <c r="P24" s="461" t="s">
        <v>277</v>
      </c>
    </row>
    <row r="25" spans="2:16" x14ac:dyDescent="0.25">
      <c r="P25" t="s">
        <v>273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4"/>
  <sheetViews>
    <sheetView zoomScale="82" zoomScaleNormal="82" workbookViewId="0">
      <selection sqref="A1:H1"/>
    </sheetView>
  </sheetViews>
  <sheetFormatPr defaultColWidth="9.140625" defaultRowHeight="15.75" x14ac:dyDescent="0.25"/>
  <cols>
    <col min="1" max="1" width="9.5703125" style="43" customWidth="1"/>
    <col min="2" max="2" width="23.5703125" style="41" customWidth="1"/>
    <col min="3" max="3" width="28" style="40" customWidth="1"/>
    <col min="4" max="4" width="35.7109375" style="40" customWidth="1"/>
    <col min="5" max="7" width="26.28515625" style="10" customWidth="1"/>
    <col min="8" max="8" width="13.140625" style="10" customWidth="1"/>
    <col min="9" max="9" width="14.140625" style="10" customWidth="1"/>
    <col min="10" max="16384" width="9.140625" style="10"/>
  </cols>
  <sheetData>
    <row r="1" spans="1:26" ht="26.25" x14ac:dyDescent="0.25">
      <c r="A1" s="511" t="s">
        <v>4</v>
      </c>
      <c r="B1" s="511"/>
      <c r="C1" s="511"/>
      <c r="D1" s="511"/>
      <c r="E1" s="511"/>
      <c r="F1" s="511"/>
      <c r="G1" s="511"/>
      <c r="H1" s="511"/>
    </row>
    <row r="2" spans="1:26" x14ac:dyDescent="0.25">
      <c r="A2" s="7" t="s">
        <v>79</v>
      </c>
      <c r="B2" s="7"/>
      <c r="C2" s="7"/>
      <c r="D2" s="7"/>
      <c r="E2" s="7"/>
      <c r="F2" s="7"/>
      <c r="G2" s="7"/>
      <c r="H2" s="7"/>
    </row>
    <row r="3" spans="1:26" s="19" customFormat="1" ht="79.5" customHeight="1" x14ac:dyDescent="0.25">
      <c r="A3" s="577" t="s">
        <v>68</v>
      </c>
      <c r="B3" s="573" t="s">
        <v>5</v>
      </c>
      <c r="C3" s="573"/>
      <c r="D3" s="573"/>
      <c r="E3" s="580" t="s">
        <v>71</v>
      </c>
      <c r="F3" s="581"/>
      <c r="G3" s="582"/>
      <c r="H3" s="4" t="s">
        <v>83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578"/>
      <c r="B4" s="573" t="s">
        <v>69</v>
      </c>
      <c r="C4" s="573"/>
      <c r="D4" s="573"/>
      <c r="E4" s="565">
        <v>2</v>
      </c>
      <c r="F4" s="565"/>
      <c r="G4" s="34"/>
      <c r="H4" s="34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.75" customHeight="1" x14ac:dyDescent="0.25">
      <c r="A5" s="578"/>
      <c r="B5" s="573" t="s">
        <v>70</v>
      </c>
      <c r="C5" s="573"/>
      <c r="D5" s="573"/>
      <c r="E5" s="11" t="s">
        <v>8</v>
      </c>
      <c r="F5" s="11" t="s">
        <v>9</v>
      </c>
      <c r="G5" s="11"/>
      <c r="H5" s="11" t="s">
        <v>83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578"/>
      <c r="B6" s="566" t="s">
        <v>72</v>
      </c>
      <c r="C6" s="566"/>
      <c r="D6" s="566"/>
      <c r="E6" s="34">
        <v>23</v>
      </c>
      <c r="F6" s="34">
        <v>230</v>
      </c>
      <c r="G6" s="34"/>
      <c r="H6" s="3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 x14ac:dyDescent="0.25">
      <c r="A7" s="578"/>
      <c r="B7" s="573" t="s">
        <v>75</v>
      </c>
      <c r="C7" s="573"/>
      <c r="D7" s="573"/>
      <c r="E7" s="565">
        <f>E$6+F$6</f>
        <v>253</v>
      </c>
      <c r="F7" s="565"/>
      <c r="G7" s="34"/>
      <c r="H7" s="3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5">
      <c r="A8" s="578"/>
      <c r="B8" s="566" t="s">
        <v>74</v>
      </c>
      <c r="C8" s="566"/>
      <c r="D8" s="566"/>
      <c r="E8" s="45">
        <f>(E23/E7)*E6</f>
        <v>6989709.2727272734</v>
      </c>
      <c r="F8" s="45">
        <f>(E23/E7)*F6</f>
        <v>69897092.727272734</v>
      </c>
      <c r="G8" s="45"/>
      <c r="H8" s="4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58" customFormat="1" ht="21.75" customHeight="1" x14ac:dyDescent="0.25">
      <c r="A9" s="579"/>
      <c r="B9" s="576" t="s">
        <v>86</v>
      </c>
      <c r="C9" s="576"/>
      <c r="D9" s="576"/>
      <c r="E9" s="574">
        <v>43187</v>
      </c>
      <c r="F9" s="575"/>
      <c r="G9" s="56"/>
      <c r="H9" s="56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7.25" customHeight="1" x14ac:dyDescent="0.25">
      <c r="A10" s="559" t="s">
        <v>73</v>
      </c>
      <c r="B10" s="564" t="s">
        <v>27</v>
      </c>
      <c r="C10" s="564"/>
      <c r="D10" s="564"/>
      <c r="E10" s="567">
        <v>8820000</v>
      </c>
      <c r="F10" s="568"/>
      <c r="G10" s="45"/>
      <c r="H10" s="4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559"/>
      <c r="B11" s="564" t="s">
        <v>28</v>
      </c>
      <c r="C11" s="564"/>
      <c r="D11" s="564"/>
      <c r="E11" s="567">
        <v>9049189</v>
      </c>
      <c r="F11" s="568"/>
      <c r="G11" s="12"/>
      <c r="H11" s="1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9"/>
      <c r="B12" s="564" t="s">
        <v>29</v>
      </c>
      <c r="C12" s="564"/>
      <c r="D12" s="564"/>
      <c r="E12" s="567">
        <v>869499</v>
      </c>
      <c r="F12" s="568"/>
      <c r="G12" s="12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1" customFormat="1" ht="16.5" customHeight="1" x14ac:dyDescent="0.25">
      <c r="A13" s="559"/>
      <c r="B13" s="564" t="s">
        <v>30</v>
      </c>
      <c r="C13" s="564"/>
      <c r="D13" s="564"/>
      <c r="E13" s="567">
        <v>720000</v>
      </c>
      <c r="F13" s="568"/>
      <c r="G13" s="12"/>
      <c r="H13" s="12"/>
    </row>
    <row r="14" spans="1:26" x14ac:dyDescent="0.25">
      <c r="A14" s="559"/>
      <c r="B14" s="564" t="s">
        <v>31</v>
      </c>
      <c r="C14" s="564"/>
      <c r="D14" s="564"/>
      <c r="E14" s="567">
        <v>427500</v>
      </c>
      <c r="F14" s="568"/>
      <c r="G14" s="12"/>
      <c r="H14" s="1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559"/>
      <c r="B15" s="564" t="s">
        <v>32</v>
      </c>
      <c r="C15" s="564"/>
      <c r="D15" s="564"/>
      <c r="E15" s="567">
        <v>225000</v>
      </c>
      <c r="F15" s="568"/>
      <c r="G15" s="12"/>
      <c r="H15" s="1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16" customFormat="1" x14ac:dyDescent="0.25">
      <c r="A16" s="559"/>
      <c r="B16" s="564" t="s">
        <v>33</v>
      </c>
      <c r="C16" s="564"/>
      <c r="D16" s="564"/>
      <c r="E16" s="567">
        <v>315000</v>
      </c>
      <c r="F16" s="568"/>
      <c r="G16" s="35"/>
      <c r="H16" s="35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9" customFormat="1" x14ac:dyDescent="0.25">
      <c r="A17" s="559"/>
      <c r="B17" s="564" t="s">
        <v>34</v>
      </c>
      <c r="C17" s="564"/>
      <c r="D17" s="564"/>
      <c r="E17" s="567">
        <v>180000</v>
      </c>
      <c r="F17" s="568"/>
      <c r="G17" s="36"/>
      <c r="H17" s="36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"/>
    </row>
    <row r="18" spans="1:26" x14ac:dyDescent="0.25">
      <c r="A18" s="559"/>
      <c r="B18" s="564" t="s">
        <v>35</v>
      </c>
      <c r="C18" s="564"/>
      <c r="D18" s="564"/>
      <c r="E18" s="567">
        <v>10978750</v>
      </c>
      <c r="F18" s="568"/>
      <c r="G18" s="37"/>
      <c r="H18" s="37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"/>
    </row>
    <row r="19" spans="1:26" x14ac:dyDescent="0.25">
      <c r="A19" s="559"/>
      <c r="B19" s="564" t="s">
        <v>36</v>
      </c>
      <c r="C19" s="564"/>
      <c r="D19" s="564"/>
      <c r="E19" s="567">
        <v>33083664</v>
      </c>
      <c r="F19" s="568"/>
      <c r="G19" s="37"/>
      <c r="H19" s="37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/>
    </row>
    <row r="20" spans="1:26" x14ac:dyDescent="0.25">
      <c r="A20" s="559"/>
      <c r="B20" s="564" t="s">
        <v>37</v>
      </c>
      <c r="C20" s="564"/>
      <c r="D20" s="564"/>
      <c r="E20" s="567">
        <v>4282200</v>
      </c>
      <c r="F20" s="568"/>
      <c r="G20" s="37"/>
      <c r="H20" s="37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"/>
    </row>
    <row r="21" spans="1:26" x14ac:dyDescent="0.25">
      <c r="A21" s="559"/>
      <c r="B21" s="564" t="s">
        <v>38</v>
      </c>
      <c r="C21" s="564"/>
      <c r="D21" s="564"/>
      <c r="E21" s="567">
        <v>7936000</v>
      </c>
      <c r="F21" s="568"/>
      <c r="G21" s="37"/>
      <c r="H21" s="37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"/>
    </row>
    <row r="22" spans="1:26" x14ac:dyDescent="0.25">
      <c r="A22" s="559"/>
      <c r="B22" s="564" t="s">
        <v>39</v>
      </c>
      <c r="C22" s="564"/>
      <c r="D22" s="564"/>
      <c r="E22" s="567">
        <v>0</v>
      </c>
      <c r="F22" s="568"/>
      <c r="G22" s="37"/>
      <c r="H22" s="37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"/>
    </row>
    <row r="23" spans="1:26" s="19" customFormat="1" ht="17.25" customHeight="1" x14ac:dyDescent="0.25">
      <c r="A23" s="559"/>
      <c r="B23" s="563" t="s">
        <v>40</v>
      </c>
      <c r="C23" s="563"/>
      <c r="D23" s="563"/>
      <c r="E23" s="557">
        <f>SUM(E10:E22)</f>
        <v>76886802</v>
      </c>
      <c r="F23" s="558"/>
      <c r="G23" s="36"/>
      <c r="H23" s="3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"/>
    </row>
    <row r="24" spans="1:26" ht="42" customHeight="1" x14ac:dyDescent="0.25">
      <c r="A24" s="559" t="s">
        <v>76</v>
      </c>
      <c r="B24" s="569" t="s">
        <v>90</v>
      </c>
      <c r="C24" s="569"/>
      <c r="D24" s="569"/>
      <c r="E24" s="46" t="str">
        <f>E5</f>
        <v>Satwari (Jammu Airport)-Kunjwani-Vijaypur</v>
      </c>
      <c r="F24" s="46" t="str">
        <f>F5</f>
        <v>Gangheri in Pehowa-Charkhi Dadri-Narnaul</v>
      </c>
      <c r="G24" s="6" t="s">
        <v>82</v>
      </c>
      <c r="H24" s="6" t="str">
        <f>H3</f>
        <v>Moraigaon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559"/>
      <c r="B25" s="564" t="s">
        <v>64</v>
      </c>
      <c r="C25" s="564"/>
      <c r="D25" s="564"/>
      <c r="E25" s="71">
        <v>30</v>
      </c>
      <c r="F25" s="45">
        <v>207</v>
      </c>
      <c r="G25" s="45">
        <v>0</v>
      </c>
      <c r="H25" s="45">
        <v>0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5">
      <c r="A26" s="559"/>
      <c r="B26" s="564" t="s">
        <v>77</v>
      </c>
      <c r="C26" s="564"/>
      <c r="D26" s="564"/>
      <c r="E26" s="5">
        <v>2</v>
      </c>
      <c r="F26" s="5">
        <v>3</v>
      </c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4.5" customHeight="1" x14ac:dyDescent="0.25">
      <c r="A27" s="559"/>
      <c r="B27" s="570" t="s">
        <v>65</v>
      </c>
      <c r="C27" s="571"/>
      <c r="D27" s="572"/>
      <c r="E27" s="72">
        <f>IF(OR(E$26&lt;E$26),IF(E$25&lt;E$6*0.9,E$25+0.1*E$6,IF(E$25&gt;1.1*E$6,E$25-0.1*E$6,E$6)),0)</f>
        <v>0</v>
      </c>
      <c r="F27" s="72">
        <f>IF(OR(F$26&lt;1,F$26=1),IF(F$25&lt;F$6*0.9,F$25+0.1*F$6,IF(F$25&gt;1.1*F$6,F$25-0.1*F$6,F$6)),0)</f>
        <v>0</v>
      </c>
      <c r="G27" s="68"/>
      <c r="H27" s="70"/>
      <c r="I27" s="69">
        <f t="shared" ref="I27" si="0">IF(OR(H27&gt;0,J27&gt;0),1,0)</f>
        <v>0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34.5" customHeight="1" x14ac:dyDescent="0.25">
      <c r="A28" s="559"/>
      <c r="B28" s="564" t="s">
        <v>66</v>
      </c>
      <c r="C28" s="564"/>
      <c r="D28" s="564"/>
      <c r="E28" s="45"/>
      <c r="F28" s="45">
        <v>0</v>
      </c>
      <c r="G28" s="45">
        <v>0</v>
      </c>
      <c r="H28" s="45">
        <v>0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34.5" customHeight="1" x14ac:dyDescent="0.25">
      <c r="A29" s="44"/>
      <c r="B29" s="50"/>
      <c r="C29" s="47"/>
      <c r="D29" s="47"/>
      <c r="E29" s="42"/>
      <c r="F29" s="42"/>
      <c r="G29" s="42"/>
      <c r="I29" s="77">
        <f>E23/F33</f>
        <v>1.0999999999999999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5">
      <c r="A30" s="7" t="s">
        <v>80</v>
      </c>
      <c r="B30" s="7" t="s">
        <v>81</v>
      </c>
      <c r="C30" s="4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"/>
    </row>
    <row r="31" spans="1:26" ht="36.75" customHeight="1" x14ac:dyDescent="0.25">
      <c r="A31" s="7"/>
      <c r="B31" s="39"/>
      <c r="C31" s="17" t="str">
        <f>B5</f>
        <v>Name of stretches</v>
      </c>
      <c r="D31" s="48"/>
      <c r="E31" s="4" t="str">
        <f>E5</f>
        <v>Satwari (Jammu Airport)-Kunjwani-Vijaypur</v>
      </c>
      <c r="F31" s="4" t="str">
        <f>F5</f>
        <v>Gangheri in Pehowa-Charkhi Dadri-Narnaul</v>
      </c>
      <c r="G31" s="38" t="str">
        <f>G24</f>
        <v>Xyz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"/>
    </row>
    <row r="32" spans="1:26" ht="15.75" customHeight="1" x14ac:dyDescent="0.25">
      <c r="A32" s="7"/>
      <c r="B32" s="39"/>
      <c r="C32" s="17" t="s">
        <v>7</v>
      </c>
      <c r="D32" s="49"/>
      <c r="E32" s="38">
        <f>E27+IF(E26=1,E25,E27)</f>
        <v>0</v>
      </c>
      <c r="F32" s="38">
        <f>F27</f>
        <v>0</v>
      </c>
      <c r="G32" s="64">
        <f>G25</f>
        <v>0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"/>
    </row>
    <row r="33" spans="1:26" ht="15.75" customHeight="1" x14ac:dyDescent="0.25">
      <c r="A33" s="7"/>
      <c r="B33" s="39"/>
      <c r="C33" s="555" t="s">
        <v>6</v>
      </c>
      <c r="D33" s="556"/>
      <c r="E33" s="13">
        <f>E8</f>
        <v>6989709.2727272734</v>
      </c>
      <c r="F33" s="13">
        <f>F8</f>
        <v>69897092.727272734</v>
      </c>
      <c r="G33" s="37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"/>
    </row>
    <row r="34" spans="1:26" ht="15.75" customHeight="1" x14ac:dyDescent="0.25">
      <c r="A34" s="554" t="s">
        <v>78</v>
      </c>
      <c r="B34" s="560" t="s">
        <v>108</v>
      </c>
      <c r="C34" s="529" t="s">
        <v>45</v>
      </c>
      <c r="D34" s="49" t="s">
        <v>91</v>
      </c>
      <c r="E34" s="13">
        <v>1</v>
      </c>
      <c r="F34" s="13">
        <v>1</v>
      </c>
      <c r="G34" s="37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"/>
    </row>
    <row r="35" spans="1:26" ht="31.5" customHeight="1" x14ac:dyDescent="0.25">
      <c r="A35" s="554"/>
      <c r="B35" s="561"/>
      <c r="C35" s="527"/>
      <c r="D35" s="65" t="s">
        <v>88</v>
      </c>
      <c r="E35" s="15">
        <v>0.1</v>
      </c>
      <c r="F35" s="15">
        <v>0.1</v>
      </c>
      <c r="G35" s="37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"/>
    </row>
    <row r="36" spans="1:26" x14ac:dyDescent="0.25">
      <c r="A36" s="554"/>
      <c r="B36" s="561"/>
      <c r="C36" s="527"/>
      <c r="D36" s="20" t="s">
        <v>46</v>
      </c>
      <c r="E36" s="13">
        <f>$E$33*E35</f>
        <v>698970.92727272736</v>
      </c>
      <c r="F36" s="13">
        <f>$F$33*F35</f>
        <v>6989709.2727272734</v>
      </c>
      <c r="G36" s="37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"/>
    </row>
    <row r="37" spans="1:26" s="54" customFormat="1" ht="24" customHeight="1" x14ac:dyDescent="0.25">
      <c r="A37" s="554"/>
      <c r="B37" s="561"/>
      <c r="C37" s="527"/>
      <c r="D37" s="66" t="s">
        <v>84</v>
      </c>
      <c r="E37" s="53">
        <v>30</v>
      </c>
      <c r="F37" s="53">
        <v>30</v>
      </c>
      <c r="G37" s="63"/>
      <c r="Z37" s="55"/>
    </row>
    <row r="38" spans="1:26" ht="21" customHeight="1" x14ac:dyDescent="0.25">
      <c r="A38" s="554"/>
      <c r="B38" s="561"/>
      <c r="C38" s="528"/>
      <c r="D38" s="66" t="s">
        <v>85</v>
      </c>
      <c r="E38" s="59">
        <f>$E$9+E37</f>
        <v>43217</v>
      </c>
      <c r="F38" s="59">
        <f>$E$9+F37</f>
        <v>43217</v>
      </c>
      <c r="G38" s="37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"/>
    </row>
    <row r="39" spans="1:26" ht="34.5" customHeight="1" x14ac:dyDescent="0.25">
      <c r="A39" s="554"/>
      <c r="B39" s="561"/>
      <c r="C39" s="529" t="s">
        <v>47</v>
      </c>
      <c r="D39" s="75" t="s">
        <v>93</v>
      </c>
      <c r="E39" s="76">
        <f>IF(OR(E$26&gt;E34),IF(E$25&lt;E$6*0.9,E$25+0.1*E$6,IF(E$25&gt;1.1*E$6,E$25-0.1*E$6,E$6)),E$6)</f>
        <v>27.7</v>
      </c>
      <c r="F39" s="76">
        <f>IF(OR(F$26&gt;F34),IF(F$25&lt;F$6*0.9,F$25+0.1*F$6,IF(F$25&gt;1.1*F$6,F$25-0.1*F$6,F$6)),F$6)</f>
        <v>230</v>
      </c>
      <c r="G39" s="68"/>
      <c r="H39" s="70"/>
      <c r="I39" s="69">
        <f t="shared" ref="I39" si="1">IF(OR(H39&gt;0,J39&gt;0),1,0)</f>
        <v>0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34.5" customHeight="1" x14ac:dyDescent="0.25">
      <c r="A40" s="554"/>
      <c r="B40" s="561"/>
      <c r="C40" s="527"/>
      <c r="D40" s="75" t="s">
        <v>92</v>
      </c>
      <c r="E40" s="15">
        <v>0.1</v>
      </c>
      <c r="F40" s="15">
        <v>0.1</v>
      </c>
      <c r="G40" s="68"/>
      <c r="H40" s="73"/>
      <c r="I40" s="74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25">
      <c r="A41" s="554"/>
      <c r="B41" s="561"/>
      <c r="C41" s="527"/>
      <c r="D41" s="20" t="s">
        <v>55</v>
      </c>
      <c r="E41" s="21">
        <f>E$33/E$6*E39*E40</f>
        <v>841804.11675889324</v>
      </c>
      <c r="F41" s="21">
        <f>F$33/F$6*F39*F40</f>
        <v>6989709.2727272734</v>
      </c>
      <c r="G41" s="37"/>
      <c r="H41" s="60"/>
      <c r="I41" s="6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554"/>
      <c r="B42" s="561"/>
      <c r="C42" s="527"/>
      <c r="D42" s="20" t="s">
        <v>44</v>
      </c>
      <c r="E42" s="21">
        <f>E41*0.18</f>
        <v>151524.74101660078</v>
      </c>
      <c r="F42" s="21">
        <f>F41*0.18</f>
        <v>1258147.6690909092</v>
      </c>
      <c r="G42" s="37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"/>
    </row>
    <row r="43" spans="1:26" x14ac:dyDescent="0.25">
      <c r="A43" s="554"/>
      <c r="B43" s="561"/>
      <c r="C43" s="527"/>
      <c r="D43" s="20" t="s">
        <v>67</v>
      </c>
      <c r="E43"/>
      <c r="F43"/>
      <c r="G43" s="37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"/>
    </row>
    <row r="44" spans="1:26" ht="18" customHeight="1" x14ac:dyDescent="0.25">
      <c r="A44" s="554"/>
      <c r="B44" s="561"/>
      <c r="C44" s="528"/>
      <c r="D44" s="20" t="s">
        <v>89</v>
      </c>
      <c r="E44" s="23">
        <v>43235</v>
      </c>
      <c r="F44" s="23">
        <v>43235</v>
      </c>
      <c r="G44" s="37"/>
      <c r="H44" s="60"/>
      <c r="I44" s="60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25">
      <c r="A45" s="554"/>
      <c r="B45" s="561"/>
      <c r="C45" s="530" t="s">
        <v>48</v>
      </c>
      <c r="D45" s="20" t="s">
        <v>56</v>
      </c>
      <c r="E45" s="21"/>
      <c r="F45" s="21"/>
      <c r="G45" s="37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554"/>
      <c r="B46" s="561"/>
      <c r="C46" s="530"/>
      <c r="D46" s="20" t="s">
        <v>57</v>
      </c>
      <c r="E46" s="21"/>
      <c r="F46" s="21"/>
      <c r="G46" s="37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554"/>
      <c r="B47" s="561"/>
      <c r="C47" s="541" t="s">
        <v>96</v>
      </c>
      <c r="D47" s="40" t="s">
        <v>97</v>
      </c>
      <c r="E47" s="21"/>
      <c r="F47" s="21"/>
      <c r="G47" s="37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554"/>
      <c r="B48" s="561"/>
      <c r="C48" s="542"/>
      <c r="D48" s="20" t="s">
        <v>98</v>
      </c>
      <c r="E48" s="21"/>
      <c r="F48" s="21"/>
      <c r="G48" s="37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554"/>
      <c r="B49" s="561"/>
      <c r="C49" s="542"/>
      <c r="D49" s="20" t="s">
        <v>99</v>
      </c>
      <c r="E49" s="21"/>
      <c r="F49" s="21"/>
      <c r="G49" s="37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s="81" customFormat="1" ht="31.5" x14ac:dyDescent="0.25">
      <c r="A50" s="554"/>
      <c r="B50" s="561"/>
      <c r="C50" s="543"/>
      <c r="D50" s="20" t="s">
        <v>100</v>
      </c>
      <c r="E50" s="80"/>
      <c r="F50" s="80"/>
      <c r="G50" s="46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 ht="15.75" customHeight="1" x14ac:dyDescent="0.25">
      <c r="A51" s="554"/>
      <c r="B51" s="561"/>
      <c r="C51" s="534" t="s">
        <v>50</v>
      </c>
      <c r="D51" s="20" t="s">
        <v>41</v>
      </c>
      <c r="E51" s="3"/>
      <c r="F51" s="3"/>
      <c r="G51" s="37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554"/>
      <c r="B52" s="561"/>
      <c r="C52" s="534"/>
      <c r="D52" s="20" t="s">
        <v>62</v>
      </c>
      <c r="E52" s="23"/>
      <c r="F52" s="23"/>
      <c r="G52" s="37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554"/>
      <c r="B53" s="561"/>
      <c r="C53" s="534" t="s">
        <v>102</v>
      </c>
      <c r="D53" s="20" t="s">
        <v>101</v>
      </c>
      <c r="E53" s="3"/>
      <c r="F53" s="3"/>
      <c r="G53" s="37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554"/>
      <c r="B54" s="561"/>
      <c r="C54" s="534"/>
      <c r="D54" s="20" t="s">
        <v>103</v>
      </c>
      <c r="E54" s="3"/>
      <c r="F54" s="3"/>
      <c r="G54" s="37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554"/>
      <c r="B55" s="561"/>
      <c r="C55" s="534"/>
      <c r="D55" s="20" t="s">
        <v>62</v>
      </c>
      <c r="E55" s="3"/>
      <c r="F55" s="3"/>
      <c r="G55" s="37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s="87" customFormat="1" ht="47.25" x14ac:dyDescent="0.25">
      <c r="A56" s="554"/>
      <c r="B56" s="561"/>
      <c r="C56" s="534"/>
      <c r="D56" s="84" t="s">
        <v>106</v>
      </c>
      <c r="E56" s="85"/>
      <c r="F56" s="85"/>
      <c r="G56" s="86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5.75" customHeight="1" x14ac:dyDescent="0.25">
      <c r="A57" s="554"/>
      <c r="B57" s="561"/>
      <c r="C57" s="535" t="s">
        <v>58</v>
      </c>
      <c r="D57" s="20" t="s">
        <v>63</v>
      </c>
      <c r="E57" s="3"/>
      <c r="F57" s="3"/>
      <c r="G57" s="37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554"/>
      <c r="B58" s="562"/>
      <c r="C58" s="535"/>
      <c r="D58" s="20" t="s">
        <v>59</v>
      </c>
      <c r="E58" s="23"/>
      <c r="F58" s="23"/>
      <c r="G58" s="37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" customHeight="1" x14ac:dyDescent="0.25">
      <c r="A59" s="83"/>
      <c r="B59" s="51"/>
      <c r="C59" s="51"/>
      <c r="D59" s="49"/>
      <c r="E59" s="37"/>
      <c r="F59" s="37"/>
      <c r="G59" s="3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s="16" customFormat="1" ht="15.75" customHeight="1" x14ac:dyDescent="0.25">
      <c r="A60" s="83"/>
      <c r="B60" s="537" t="s">
        <v>53</v>
      </c>
      <c r="C60" s="530" t="s">
        <v>49</v>
      </c>
      <c r="D60" s="20" t="s">
        <v>43</v>
      </c>
      <c r="E60" s="21"/>
      <c r="F60" s="21"/>
      <c r="G60" s="35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83"/>
      <c r="B61" s="538"/>
      <c r="C61" s="530"/>
      <c r="D61" s="20" t="s">
        <v>44</v>
      </c>
      <c r="E61" s="21"/>
      <c r="F61" s="21"/>
      <c r="G61" s="3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83"/>
      <c r="B62" s="538"/>
      <c r="C62" s="540" t="s">
        <v>47</v>
      </c>
      <c r="D62" s="20" t="s">
        <v>54</v>
      </c>
      <c r="E62" s="21"/>
      <c r="F62" s="21"/>
      <c r="G62" s="37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"/>
      <c r="Z62" s="2"/>
    </row>
    <row r="63" spans="1:26" x14ac:dyDescent="0.25">
      <c r="A63" s="83"/>
      <c r="B63" s="538"/>
      <c r="C63" s="540"/>
      <c r="D63" s="20" t="s">
        <v>0</v>
      </c>
      <c r="E63" s="3"/>
      <c r="F63" s="3"/>
      <c r="G63" s="37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5"/>
      <c r="Z63" s="2"/>
    </row>
    <row r="64" spans="1:26" x14ac:dyDescent="0.25">
      <c r="A64" s="83"/>
      <c r="B64" s="538"/>
      <c r="C64" s="540"/>
      <c r="D64" s="20" t="s">
        <v>55</v>
      </c>
      <c r="E64" s="21">
        <v>698971</v>
      </c>
      <c r="F64" s="21">
        <v>6989709</v>
      </c>
      <c r="G64" s="3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83"/>
      <c r="B65" s="538"/>
      <c r="C65" s="540"/>
      <c r="D65" s="20" t="s">
        <v>44</v>
      </c>
      <c r="E65" s="21"/>
      <c r="F65" s="21"/>
      <c r="G65" s="3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83"/>
      <c r="B66" s="538"/>
      <c r="C66" s="530" t="s">
        <v>48</v>
      </c>
      <c r="D66" s="20" t="s">
        <v>56</v>
      </c>
      <c r="E66" s="23"/>
      <c r="F66" s="23"/>
      <c r="G66" s="3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s="16" customFormat="1" x14ac:dyDescent="0.25">
      <c r="A67" s="83"/>
      <c r="B67" s="538"/>
      <c r="C67" s="530"/>
      <c r="D67" s="20" t="s">
        <v>57</v>
      </c>
      <c r="E67" s="23"/>
      <c r="F67" s="23"/>
      <c r="G67" s="35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25">
      <c r="A68" s="83"/>
      <c r="B68" s="538"/>
      <c r="C68" s="541" t="s">
        <v>96</v>
      </c>
      <c r="D68" s="40" t="s">
        <v>97</v>
      </c>
      <c r="E68" s="21"/>
      <c r="F68" s="21"/>
      <c r="G68" s="37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83"/>
      <c r="B69" s="538"/>
      <c r="C69" s="542"/>
      <c r="D69" s="20" t="s">
        <v>98</v>
      </c>
      <c r="E69" s="21"/>
      <c r="F69" s="21"/>
      <c r="G69" s="37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83"/>
      <c r="B70" s="538"/>
      <c r="C70" s="542"/>
      <c r="D70" s="20" t="s">
        <v>99</v>
      </c>
      <c r="E70" s="21"/>
      <c r="F70" s="21"/>
      <c r="G70" s="37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s="81" customFormat="1" ht="31.5" x14ac:dyDescent="0.25">
      <c r="A71" s="83"/>
      <c r="B71" s="538"/>
      <c r="C71" s="543"/>
      <c r="D71" s="20" t="s">
        <v>100</v>
      </c>
      <c r="E71" s="80"/>
      <c r="F71" s="80"/>
      <c r="G71" s="46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 ht="15.75" customHeight="1" x14ac:dyDescent="0.25">
      <c r="A72" s="83"/>
      <c r="B72" s="538"/>
      <c r="C72" s="544" t="s">
        <v>50</v>
      </c>
      <c r="D72" s="20" t="s">
        <v>60</v>
      </c>
      <c r="E72" s="23"/>
      <c r="F72" s="23"/>
      <c r="G72" s="37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83"/>
      <c r="B73" s="538"/>
      <c r="C73" s="545"/>
      <c r="D73" s="20" t="s">
        <v>61</v>
      </c>
      <c r="E73" s="23"/>
      <c r="F73" s="23"/>
      <c r="G73" s="37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83"/>
      <c r="B74" s="538"/>
      <c r="C74" s="544" t="s">
        <v>51</v>
      </c>
      <c r="D74" s="20" t="s">
        <v>52</v>
      </c>
      <c r="E74" s="23"/>
      <c r="F74" s="23"/>
      <c r="G74" s="3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83"/>
      <c r="B75" s="538"/>
      <c r="C75" s="545"/>
      <c r="D75" s="20" t="s">
        <v>42</v>
      </c>
      <c r="E75" s="23"/>
      <c r="F75" s="23"/>
      <c r="G75" s="3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83"/>
      <c r="B76" s="538"/>
      <c r="C76" s="537" t="s">
        <v>102</v>
      </c>
      <c r="D76" s="20" t="s">
        <v>101</v>
      </c>
      <c r="E76" s="3"/>
      <c r="F76" s="3"/>
      <c r="G76" s="37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83"/>
      <c r="B77" s="538"/>
      <c r="C77" s="538"/>
      <c r="D77" s="20" t="s">
        <v>103</v>
      </c>
      <c r="E77" s="3"/>
      <c r="F77" s="3"/>
      <c r="G77" s="37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83"/>
      <c r="B78" s="538"/>
      <c r="C78" s="538"/>
      <c r="D78" s="20" t="s">
        <v>62</v>
      </c>
      <c r="E78" s="3"/>
      <c r="F78" s="3"/>
      <c r="G78" s="37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31.5" x14ac:dyDescent="0.25">
      <c r="A79" s="83"/>
      <c r="B79" s="538"/>
      <c r="C79" s="538"/>
      <c r="D79" s="81" t="s">
        <v>104</v>
      </c>
      <c r="E79" s="23"/>
      <c r="F79" s="23"/>
      <c r="G79" s="37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s="81" customFormat="1" ht="31.5" x14ac:dyDescent="0.25">
      <c r="A80" s="83"/>
      <c r="B80" s="538"/>
      <c r="C80" s="539"/>
      <c r="D80" s="20" t="s">
        <v>107</v>
      </c>
      <c r="E80" s="80"/>
      <c r="F80" s="80"/>
      <c r="G80" s="46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 x14ac:dyDescent="0.25">
      <c r="A81" s="83"/>
      <c r="B81" s="538"/>
      <c r="C81" s="530" t="s">
        <v>105</v>
      </c>
      <c r="D81" s="20" t="s">
        <v>43</v>
      </c>
      <c r="E81" s="23"/>
      <c r="F81" s="23"/>
      <c r="G81" s="3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83"/>
      <c r="B82" s="538"/>
      <c r="C82" s="530"/>
      <c r="D82" s="20" t="s">
        <v>44</v>
      </c>
      <c r="E82" s="3"/>
      <c r="F82" s="3"/>
      <c r="G82" s="3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83"/>
      <c r="B83" s="538"/>
      <c r="C83" s="535" t="s">
        <v>58</v>
      </c>
      <c r="D83" s="20" t="s">
        <v>63</v>
      </c>
      <c r="E83" s="3"/>
      <c r="F83" s="3"/>
      <c r="G83" s="3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83"/>
      <c r="B84" s="539"/>
      <c r="C84" s="535"/>
      <c r="D84" s="20" t="s">
        <v>59</v>
      </c>
      <c r="E84" s="3"/>
      <c r="F84" s="3"/>
      <c r="G84" s="3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83"/>
      <c r="B85" s="546" t="s">
        <v>13</v>
      </c>
      <c r="C85" s="529" t="s">
        <v>45</v>
      </c>
      <c r="D85" s="49" t="s">
        <v>91</v>
      </c>
      <c r="E85" s="13">
        <v>2</v>
      </c>
      <c r="F85" s="13">
        <v>2</v>
      </c>
      <c r="G85" s="37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"/>
    </row>
    <row r="86" spans="1:26" ht="31.5" customHeight="1" x14ac:dyDescent="0.25">
      <c r="A86" s="83"/>
      <c r="B86" s="547"/>
      <c r="C86" s="527"/>
      <c r="D86" s="65" t="s">
        <v>88</v>
      </c>
      <c r="E86" s="15">
        <v>0.05</v>
      </c>
      <c r="F86" s="15">
        <v>0.05</v>
      </c>
      <c r="G86" s="37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"/>
    </row>
    <row r="87" spans="1:26" x14ac:dyDescent="0.25">
      <c r="A87" s="83"/>
      <c r="B87" s="547"/>
      <c r="C87" s="527"/>
      <c r="D87" s="20" t="s">
        <v>46</v>
      </c>
      <c r="E87" s="13">
        <f>$E$33*E86</f>
        <v>349485.46363636368</v>
      </c>
      <c r="F87" s="13">
        <f>$F$33*F86</f>
        <v>3494854.6363636367</v>
      </c>
      <c r="G87" s="37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"/>
    </row>
    <row r="88" spans="1:26" s="54" customFormat="1" ht="24" customHeight="1" x14ac:dyDescent="0.25">
      <c r="A88" s="83"/>
      <c r="B88" s="547"/>
      <c r="C88" s="527"/>
      <c r="D88" s="66" t="s">
        <v>84</v>
      </c>
      <c r="E88" s="53">
        <v>30</v>
      </c>
      <c r="F88" s="53">
        <v>30</v>
      </c>
      <c r="G88" s="63"/>
      <c r="Z88" s="55"/>
    </row>
    <row r="89" spans="1:26" ht="21" customHeight="1" x14ac:dyDescent="0.25">
      <c r="A89" s="83"/>
      <c r="B89" s="547"/>
      <c r="C89" s="528"/>
      <c r="D89" s="66" t="s">
        <v>85</v>
      </c>
      <c r="E89" s="59">
        <f>$E$9+E88</f>
        <v>43217</v>
      </c>
      <c r="F89" s="59">
        <f>$E$9+F88</f>
        <v>43217</v>
      </c>
      <c r="G89" s="37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"/>
    </row>
    <row r="90" spans="1:26" ht="34.5" customHeight="1" x14ac:dyDescent="0.25">
      <c r="A90" s="83"/>
      <c r="B90" s="547"/>
      <c r="C90" s="529" t="s">
        <v>47</v>
      </c>
      <c r="D90" s="75" t="s">
        <v>93</v>
      </c>
      <c r="E90" s="76">
        <f>IF(OR(E$26&lt;E85),IF(E$25&lt;E$6*0.9,E$25+0.1*E$6,IF(E$25&gt;1.1*E$6,E$25-0.1*E$6,E$6)),E$6)</f>
        <v>23</v>
      </c>
      <c r="F90" s="76">
        <f>IF(OR(F$26&lt;F85),IF(F$25&lt;F$6*0.9,F$25+0.1*F$6,IF(F$25&gt;1.1*F$6,F$25-0.1*F$6,F$6)),F$6)</f>
        <v>230</v>
      </c>
      <c r="G90" s="68"/>
      <c r="H90" s="70"/>
      <c r="I90" s="69">
        <f t="shared" ref="I90" si="2">IF(OR(H90&gt;0,J90&gt;0),1,0)</f>
        <v>0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34.5" customHeight="1" x14ac:dyDescent="0.25">
      <c r="A91" s="83"/>
      <c r="B91" s="547"/>
      <c r="C91" s="527"/>
      <c r="D91" s="75" t="s">
        <v>92</v>
      </c>
      <c r="E91" s="15">
        <v>0.1</v>
      </c>
      <c r="F91" s="15">
        <v>0.1</v>
      </c>
      <c r="G91" s="68"/>
      <c r="H91" s="73"/>
      <c r="I91" s="74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25">
      <c r="A92" s="83"/>
      <c r="B92" s="547"/>
      <c r="C92" s="527"/>
      <c r="D92" s="20" t="s">
        <v>55</v>
      </c>
      <c r="E92" s="21">
        <v>0</v>
      </c>
      <c r="F92" s="21">
        <v>3494855</v>
      </c>
      <c r="G92" s="37"/>
      <c r="H92" s="60"/>
      <c r="I92" s="60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83"/>
      <c r="B93" s="547"/>
      <c r="C93" s="527"/>
      <c r="D93" s="20" t="s">
        <v>44</v>
      </c>
      <c r="E93" s="21">
        <f>E92*0.18</f>
        <v>0</v>
      </c>
      <c r="F93" s="21">
        <f>F92*0.18</f>
        <v>629073.9</v>
      </c>
      <c r="G93" s="37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"/>
    </row>
    <row r="94" spans="1:26" x14ac:dyDescent="0.25">
      <c r="A94" s="83"/>
      <c r="B94" s="547"/>
      <c r="C94" s="527"/>
      <c r="D94" s="20" t="s">
        <v>67</v>
      </c>
      <c r="F94" s="79" t="s">
        <v>95</v>
      </c>
      <c r="G94" s="37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"/>
    </row>
    <row r="95" spans="1:26" ht="18" customHeight="1" x14ac:dyDescent="0.25">
      <c r="A95" s="83"/>
      <c r="B95" s="547"/>
      <c r="C95" s="528"/>
      <c r="D95" s="20" t="s">
        <v>89</v>
      </c>
      <c r="E95" s="23"/>
      <c r="F95" s="23">
        <v>43619</v>
      </c>
      <c r="G95" s="37"/>
      <c r="H95" s="60"/>
      <c r="I95" s="60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x14ac:dyDescent="0.25">
      <c r="A96" s="83"/>
      <c r="B96" s="547"/>
      <c r="C96" s="530" t="s">
        <v>48</v>
      </c>
      <c r="D96" s="20" t="s">
        <v>56</v>
      </c>
      <c r="E96" s="21"/>
      <c r="F96" s="21"/>
      <c r="G96" s="37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83"/>
      <c r="B97" s="547"/>
      <c r="C97" s="530"/>
      <c r="D97" s="20" t="s">
        <v>57</v>
      </c>
      <c r="E97" s="21"/>
      <c r="F97" s="21"/>
      <c r="G97" s="37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83"/>
      <c r="B98" s="547"/>
      <c r="C98" s="541" t="s">
        <v>96</v>
      </c>
      <c r="D98" s="40" t="s">
        <v>97</v>
      </c>
      <c r="E98" s="21"/>
      <c r="F98" s="21"/>
      <c r="G98" s="37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83"/>
      <c r="B99" s="547"/>
      <c r="C99" s="542"/>
      <c r="D99" s="20" t="s">
        <v>98</v>
      </c>
      <c r="E99" s="21"/>
      <c r="F99" s="21"/>
      <c r="G99" s="37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83"/>
      <c r="B100" s="547"/>
      <c r="C100" s="542"/>
      <c r="D100" s="20" t="s">
        <v>99</v>
      </c>
      <c r="E100" s="21"/>
      <c r="F100" s="21"/>
      <c r="G100" s="37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s="81" customFormat="1" ht="31.5" x14ac:dyDescent="0.25">
      <c r="A101" s="83"/>
      <c r="B101" s="547"/>
      <c r="C101" s="543"/>
      <c r="D101" s="20" t="s">
        <v>100</v>
      </c>
      <c r="E101" s="80"/>
      <c r="F101" s="80"/>
      <c r="G101" s="46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 ht="15.75" customHeight="1" x14ac:dyDescent="0.25">
      <c r="A102" s="83"/>
      <c r="B102" s="547"/>
      <c r="C102" s="534" t="s">
        <v>50</v>
      </c>
      <c r="D102" s="20" t="s">
        <v>101</v>
      </c>
      <c r="E102" s="3"/>
      <c r="F102" s="3"/>
      <c r="G102" s="37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83"/>
      <c r="B103" s="547"/>
      <c r="C103" s="534"/>
      <c r="D103" s="20" t="s">
        <v>62</v>
      </c>
      <c r="E103" s="23"/>
      <c r="F103" s="23"/>
      <c r="G103" s="37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83"/>
      <c r="B104" s="547"/>
      <c r="C104" s="534" t="s">
        <v>51</v>
      </c>
      <c r="D104" s="20" t="s">
        <v>101</v>
      </c>
      <c r="E104" s="3"/>
      <c r="F104" s="3"/>
      <c r="G104" s="37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83"/>
      <c r="B105" s="547"/>
      <c r="C105" s="534"/>
      <c r="D105" s="20" t="s">
        <v>62</v>
      </c>
      <c r="E105" s="23"/>
      <c r="F105" s="23"/>
      <c r="G105" s="37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83"/>
      <c r="B106" s="547"/>
      <c r="C106" s="534" t="s">
        <v>102</v>
      </c>
      <c r="D106" s="20" t="s">
        <v>101</v>
      </c>
      <c r="E106" s="3"/>
      <c r="F106" s="3"/>
      <c r="G106" s="37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83"/>
      <c r="B107" s="547"/>
      <c r="C107" s="534"/>
      <c r="D107" s="20" t="s">
        <v>103</v>
      </c>
      <c r="E107" s="3"/>
      <c r="F107" s="3"/>
      <c r="G107" s="37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83"/>
      <c r="B108" s="547"/>
      <c r="C108" s="534"/>
      <c r="D108" s="20" t="s">
        <v>62</v>
      </c>
      <c r="E108" s="3"/>
      <c r="F108" s="3"/>
      <c r="G108" s="37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31.5" x14ac:dyDescent="0.25">
      <c r="A109" s="83"/>
      <c r="B109" s="547"/>
      <c r="C109" s="534"/>
      <c r="D109" s="81" t="s">
        <v>104</v>
      </c>
      <c r="E109" s="23"/>
      <c r="F109" s="23"/>
      <c r="G109" s="37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83"/>
      <c r="B110" s="547"/>
      <c r="C110" s="535" t="s">
        <v>58</v>
      </c>
      <c r="D110" s="20" t="s">
        <v>63</v>
      </c>
      <c r="E110" s="3"/>
      <c r="F110" s="3"/>
      <c r="G110" s="37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83"/>
      <c r="B111" s="549"/>
      <c r="C111" s="535"/>
      <c r="D111" s="20" t="s">
        <v>59</v>
      </c>
      <c r="E111" s="23"/>
      <c r="F111" s="23"/>
      <c r="G111" s="37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83"/>
      <c r="B112" s="546" t="s">
        <v>12</v>
      </c>
      <c r="C112" s="529" t="s">
        <v>45</v>
      </c>
      <c r="D112" s="49" t="s">
        <v>91</v>
      </c>
      <c r="E112" s="13">
        <v>3</v>
      </c>
      <c r="F112" s="13">
        <v>3</v>
      </c>
      <c r="G112" s="37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"/>
    </row>
    <row r="113" spans="1:26" ht="31.5" customHeight="1" x14ac:dyDescent="0.25">
      <c r="A113" s="83"/>
      <c r="B113" s="547"/>
      <c r="C113" s="527"/>
      <c r="D113" s="65" t="s">
        <v>88</v>
      </c>
      <c r="E113" s="15">
        <v>0.05</v>
      </c>
      <c r="F113" s="15">
        <v>0.05</v>
      </c>
      <c r="G113" s="37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"/>
    </row>
    <row r="114" spans="1:26" x14ac:dyDescent="0.25">
      <c r="A114" s="83"/>
      <c r="B114" s="547"/>
      <c r="C114" s="527"/>
      <c r="D114" s="20" t="s">
        <v>46</v>
      </c>
      <c r="E114" s="13">
        <f>$E$33*E113</f>
        <v>349485.46363636368</v>
      </c>
      <c r="F114" s="13">
        <f>$F$33*F113</f>
        <v>3494854.6363636367</v>
      </c>
      <c r="G114" s="37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"/>
    </row>
    <row r="115" spans="1:26" s="54" customFormat="1" ht="24" customHeight="1" x14ac:dyDescent="0.25">
      <c r="A115" s="83"/>
      <c r="B115" s="547"/>
      <c r="C115" s="527"/>
      <c r="D115" s="66" t="s">
        <v>84</v>
      </c>
      <c r="E115" s="53">
        <v>30</v>
      </c>
      <c r="F115" s="53">
        <v>30</v>
      </c>
      <c r="G115" s="63"/>
      <c r="Z115" s="55"/>
    </row>
    <row r="116" spans="1:26" ht="21" customHeight="1" x14ac:dyDescent="0.25">
      <c r="A116" s="83"/>
      <c r="B116" s="547"/>
      <c r="C116" s="528"/>
      <c r="D116" s="66" t="s">
        <v>85</v>
      </c>
      <c r="E116" s="59">
        <f>$E$9+E115</f>
        <v>43217</v>
      </c>
      <c r="F116" s="59">
        <f>$E$9+F115</f>
        <v>43217</v>
      </c>
      <c r="G116" s="37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"/>
    </row>
    <row r="117" spans="1:26" ht="34.5" customHeight="1" x14ac:dyDescent="0.25">
      <c r="A117" s="83"/>
      <c r="B117" s="547"/>
      <c r="C117" s="529" t="s">
        <v>47</v>
      </c>
      <c r="D117" s="75" t="s">
        <v>93</v>
      </c>
      <c r="E117" s="76">
        <f>IF(OR(E$26&lt;E112),IF(E$25&lt;E$6*0.9,E$25+0.1*E$6,IF(E$25&gt;1.1*E$6,E$25-0.1*E$6,E$6)),E$6)</f>
        <v>27.7</v>
      </c>
      <c r="F117" s="76">
        <f>IF(OR(F$26&lt;F112),IF(F$25&lt;F$6*0.9,F$25+0.1*F$6,IF(F$25&gt;1.1*F$6,F$25-0.1*F$6,F$6)),F$6)</f>
        <v>230</v>
      </c>
      <c r="G117" s="68"/>
      <c r="H117" s="70"/>
      <c r="I117" s="69">
        <f t="shared" ref="I117" si="3">IF(OR(H117&gt;0,J117&gt;0),1,0)</f>
        <v>0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34.5" customHeight="1" x14ac:dyDescent="0.25">
      <c r="A118" s="83"/>
      <c r="B118" s="547"/>
      <c r="C118" s="527"/>
      <c r="D118" s="75" t="s">
        <v>92</v>
      </c>
      <c r="E118" s="15">
        <v>0.1</v>
      </c>
      <c r="F118" s="15">
        <v>0.1</v>
      </c>
      <c r="G118" s="68"/>
      <c r="H118" s="73"/>
      <c r="I118" s="74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x14ac:dyDescent="0.25">
      <c r="A119" s="83"/>
      <c r="B119" s="547"/>
      <c r="C119" s="527"/>
      <c r="D119" s="20" t="s">
        <v>55</v>
      </c>
      <c r="E119" s="21"/>
      <c r="F119" s="21">
        <v>3494855</v>
      </c>
      <c r="G119" s="37"/>
      <c r="H119" s="60"/>
      <c r="I119" s="60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83"/>
      <c r="B120" s="547"/>
      <c r="C120" s="527"/>
      <c r="D120" s="20" t="s">
        <v>44</v>
      </c>
      <c r="E120" s="21"/>
      <c r="F120" s="21">
        <f>F119*0.18</f>
        <v>629073.9</v>
      </c>
      <c r="G120" s="37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"/>
    </row>
    <row r="121" spans="1:26" x14ac:dyDescent="0.25">
      <c r="A121" s="83"/>
      <c r="B121" s="547"/>
      <c r="C121" s="527"/>
      <c r="D121" s="20" t="s">
        <v>67</v>
      </c>
      <c r="E121"/>
      <c r="F121"/>
      <c r="G121" s="37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"/>
    </row>
    <row r="122" spans="1:26" ht="18" customHeight="1" x14ac:dyDescent="0.25">
      <c r="A122" s="83"/>
      <c r="B122" s="547"/>
      <c r="C122" s="528"/>
      <c r="D122" s="20" t="s">
        <v>89</v>
      </c>
      <c r="E122" s="23"/>
      <c r="F122" s="23">
        <v>43407</v>
      </c>
      <c r="G122" s="37"/>
      <c r="H122" s="60"/>
      <c r="I122" s="60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8" customHeight="1" x14ac:dyDescent="0.25">
      <c r="A123" s="83"/>
      <c r="B123" s="547"/>
      <c r="C123" s="530" t="s">
        <v>48</v>
      </c>
      <c r="D123" s="20" t="s">
        <v>56</v>
      </c>
      <c r="E123" s="21"/>
      <c r="F123" s="21"/>
      <c r="G123" s="37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83"/>
      <c r="B124" s="547"/>
      <c r="C124" s="530"/>
      <c r="D124" s="20" t="s">
        <v>57</v>
      </c>
      <c r="E124" s="21"/>
      <c r="F124" s="21"/>
      <c r="G124" s="37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83"/>
      <c r="B125" s="547"/>
      <c r="C125" s="534" t="s">
        <v>50</v>
      </c>
      <c r="D125" s="20" t="s">
        <v>41</v>
      </c>
      <c r="E125" s="3"/>
      <c r="F125" s="3"/>
      <c r="G125" s="37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83"/>
      <c r="B126" s="547"/>
      <c r="C126" s="534"/>
      <c r="D126" s="20" t="s">
        <v>62</v>
      </c>
      <c r="E126" s="23"/>
      <c r="F126" s="23"/>
      <c r="G126" s="37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5">
      <c r="A127" s="83"/>
      <c r="B127" s="547"/>
      <c r="C127" s="535" t="s">
        <v>58</v>
      </c>
      <c r="D127" s="20" t="s">
        <v>63</v>
      </c>
      <c r="E127" s="3"/>
      <c r="F127" s="3"/>
      <c r="G127" s="37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5">
      <c r="A128" s="83"/>
      <c r="B128" s="547"/>
      <c r="C128" s="535"/>
      <c r="D128" s="20" t="s">
        <v>59</v>
      </c>
      <c r="E128" s="23"/>
      <c r="F128" s="23"/>
      <c r="G128" s="37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5">
      <c r="A129" s="83"/>
      <c r="B129" s="78" t="s">
        <v>14</v>
      </c>
      <c r="C129" s="529" t="s">
        <v>45</v>
      </c>
      <c r="D129" s="49" t="s">
        <v>91</v>
      </c>
      <c r="E129" s="13">
        <v>4</v>
      </c>
      <c r="F129" s="13">
        <v>4</v>
      </c>
      <c r="G129" s="37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"/>
    </row>
    <row r="130" spans="1:26" ht="31.5" customHeight="1" x14ac:dyDescent="0.25">
      <c r="A130" s="83"/>
      <c r="B130" s="78"/>
      <c r="C130" s="527"/>
      <c r="D130" s="65" t="s">
        <v>88</v>
      </c>
      <c r="E130" s="15">
        <v>0.05</v>
      </c>
      <c r="F130" s="15">
        <v>0.05</v>
      </c>
      <c r="G130" s="37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"/>
    </row>
    <row r="131" spans="1:26" x14ac:dyDescent="0.25">
      <c r="A131" s="83"/>
      <c r="B131" s="78"/>
      <c r="C131" s="527"/>
      <c r="D131" s="20" t="s">
        <v>46</v>
      </c>
      <c r="E131" s="13">
        <f>$E$33*E130</f>
        <v>349485.46363636368</v>
      </c>
      <c r="F131" s="13">
        <f>$F$33*F130</f>
        <v>3494854.6363636367</v>
      </c>
      <c r="G131" s="37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"/>
    </row>
    <row r="132" spans="1:26" s="54" customFormat="1" ht="24" customHeight="1" x14ac:dyDescent="0.25">
      <c r="A132" s="83"/>
      <c r="B132" s="78"/>
      <c r="C132" s="527"/>
      <c r="D132" s="66" t="s">
        <v>84</v>
      </c>
      <c r="E132" s="53">
        <v>30</v>
      </c>
      <c r="F132" s="53">
        <v>30</v>
      </c>
      <c r="G132" s="63"/>
      <c r="Z132" s="55"/>
    </row>
    <row r="133" spans="1:26" ht="21" customHeight="1" x14ac:dyDescent="0.25">
      <c r="A133" s="83"/>
      <c r="B133" s="78"/>
      <c r="C133" s="528"/>
      <c r="D133" s="66" t="s">
        <v>85</v>
      </c>
      <c r="E133" s="59">
        <f>$E$9+E132</f>
        <v>43217</v>
      </c>
      <c r="F133" s="59">
        <f>$E$9+F132</f>
        <v>43217</v>
      </c>
      <c r="G133" s="37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"/>
    </row>
    <row r="134" spans="1:26" ht="34.5" customHeight="1" x14ac:dyDescent="0.25">
      <c r="A134" s="83"/>
      <c r="B134" s="78"/>
      <c r="C134" s="529" t="s">
        <v>47</v>
      </c>
      <c r="D134" s="75" t="s">
        <v>93</v>
      </c>
      <c r="E134" s="76">
        <f>IF(OR(E$26&lt;E129),IF(E$25&lt;E$6*0.9,E$25+0.1*E$6,IF(E$25&gt;1.1*E$6,E$25-0.1*E$6,E$6)),E$6)</f>
        <v>27.7</v>
      </c>
      <c r="F134" s="76">
        <f>IF(OR(F$26&gt;F129,F$26=F129),IF(F$25&lt;F$6*0.9,F$25+0.1*F$6,IF(F$25&gt;1.1*F$6,F$25-0.1*F$6,F$6)),0)</f>
        <v>0</v>
      </c>
      <c r="G134" s="68"/>
      <c r="H134" s="70"/>
      <c r="I134" s="69">
        <f t="shared" ref="I134" si="4">IF(OR(H134&gt;0,J134&gt;0),1,0)</f>
        <v>0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34.5" customHeight="1" x14ac:dyDescent="0.25">
      <c r="A135" s="83"/>
      <c r="B135" s="78"/>
      <c r="C135" s="527"/>
      <c r="D135" s="75" t="s">
        <v>92</v>
      </c>
      <c r="E135" s="15">
        <v>0.1</v>
      </c>
      <c r="F135" s="76">
        <f>IF(OR(F$26&lt;F130),IF(F$25&lt;F$6*0.9,F$25+0.1*F$6,IF(F$25&gt;1.1*F$6,F$25-0.1*F$6,F$6)),F$6)</f>
        <v>230</v>
      </c>
      <c r="G135" s="68"/>
      <c r="H135" s="73"/>
      <c r="I135" s="74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x14ac:dyDescent="0.25">
      <c r="A136" s="83"/>
      <c r="B136" s="78"/>
      <c r="C136" s="527"/>
      <c r="D136" s="20" t="s">
        <v>55</v>
      </c>
      <c r="E136" s="21">
        <f>E$33/E$6*E134*E135</f>
        <v>841804.11675889324</v>
      </c>
      <c r="F136" s="21">
        <f>F$33/F$6*F134*F135</f>
        <v>0</v>
      </c>
      <c r="G136" s="37"/>
      <c r="H136" s="60"/>
      <c r="I136" s="60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83"/>
      <c r="B137" s="78"/>
      <c r="C137" s="527"/>
      <c r="D137" s="20" t="s">
        <v>44</v>
      </c>
      <c r="E137" s="21">
        <f>E136*0.18</f>
        <v>151524.74101660078</v>
      </c>
      <c r="F137" s="21">
        <f>F136*0.18</f>
        <v>0</v>
      </c>
      <c r="G137" s="37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"/>
    </row>
    <row r="138" spans="1:26" x14ac:dyDescent="0.25">
      <c r="A138" s="83"/>
      <c r="B138" s="78"/>
      <c r="C138" s="527"/>
      <c r="D138" s="20" t="s">
        <v>67</v>
      </c>
      <c r="E138" s="61"/>
      <c r="F138" s="62"/>
      <c r="G138" s="37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"/>
    </row>
    <row r="139" spans="1:26" ht="18" customHeight="1" x14ac:dyDescent="0.25">
      <c r="A139" s="83"/>
      <c r="B139" s="78"/>
      <c r="C139" s="528"/>
      <c r="D139" s="20" t="s">
        <v>89</v>
      </c>
      <c r="E139" s="23">
        <v>43235</v>
      </c>
      <c r="F139" s="23">
        <v>43235</v>
      </c>
      <c r="G139" s="37"/>
      <c r="H139" s="60"/>
      <c r="I139" s="60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8" customHeight="1" x14ac:dyDescent="0.25">
      <c r="A140" s="83"/>
      <c r="B140" s="78"/>
      <c r="C140" s="530" t="s">
        <v>48</v>
      </c>
      <c r="D140" s="20" t="s">
        <v>56</v>
      </c>
      <c r="E140" s="21"/>
      <c r="F140" s="21"/>
      <c r="G140" s="37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5">
      <c r="A141" s="83"/>
      <c r="B141" s="78"/>
      <c r="C141" s="530"/>
      <c r="D141" s="20" t="s">
        <v>57</v>
      </c>
      <c r="E141" s="21"/>
      <c r="F141" s="21"/>
      <c r="G141" s="37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5">
      <c r="A142" s="83"/>
      <c r="B142" s="78"/>
      <c r="C142" s="534" t="s">
        <v>50</v>
      </c>
      <c r="D142" s="20" t="s">
        <v>41</v>
      </c>
      <c r="E142" s="3"/>
      <c r="F142" s="3"/>
      <c r="G142" s="37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5">
      <c r="A143" s="83"/>
      <c r="B143" s="78"/>
      <c r="C143" s="534"/>
      <c r="D143" s="20" t="s">
        <v>62</v>
      </c>
      <c r="E143" s="23"/>
      <c r="F143" s="23"/>
      <c r="G143" s="3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5">
      <c r="A144" s="83"/>
      <c r="B144" s="78"/>
      <c r="C144" s="535" t="s">
        <v>58</v>
      </c>
      <c r="D144" s="20" t="s">
        <v>63</v>
      </c>
      <c r="E144" s="3"/>
      <c r="F144" s="3"/>
      <c r="G144" s="3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5">
      <c r="A145" s="83"/>
      <c r="B145" s="78"/>
      <c r="C145" s="535"/>
      <c r="D145" s="20" t="s">
        <v>59</v>
      </c>
      <c r="E145" s="23"/>
      <c r="F145" s="23"/>
      <c r="G145" s="3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x14ac:dyDescent="0.25">
      <c r="A146" s="83"/>
      <c r="B146" s="78"/>
      <c r="C146" s="67"/>
      <c r="D146" s="20" t="s">
        <v>10</v>
      </c>
      <c r="E146" s="21" t="e">
        <f>$E$33*#REF!</f>
        <v>#REF!</v>
      </c>
      <c r="F146" s="21" t="e">
        <f>$F$33*#REF!</f>
        <v>#REF!</v>
      </c>
      <c r="G146" s="37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83"/>
      <c r="B147" s="78"/>
      <c r="C147" s="67"/>
      <c r="D147" s="20" t="s">
        <v>11</v>
      </c>
      <c r="E147" s="21"/>
      <c r="F147" s="21">
        <v>3494855</v>
      </c>
      <c r="G147" s="37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"/>
      <c r="Z147" s="2"/>
    </row>
    <row r="148" spans="1:26" x14ac:dyDescent="0.25">
      <c r="A148" s="83"/>
      <c r="B148" s="78"/>
      <c r="C148" s="67"/>
      <c r="D148" s="20" t="s">
        <v>0</v>
      </c>
      <c r="E148" s="3"/>
      <c r="F148" s="28">
        <v>43272</v>
      </c>
      <c r="G148" s="3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83"/>
      <c r="B149" s="78"/>
      <c r="C149" s="67"/>
      <c r="D149" s="20" t="s">
        <v>2</v>
      </c>
      <c r="E149" s="3"/>
      <c r="F149" s="72">
        <f>IF(OR(F$26&lt;4,F$26=4),IF(F$25&lt;F$6*0.9,F$25+0.1*F$6,IF(F$25&gt;1.1*F$6,F$25-0.1*F$6,F$6)),0)</f>
        <v>230</v>
      </c>
      <c r="G149" s="3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83"/>
      <c r="B150" s="78"/>
      <c r="C150" s="67"/>
      <c r="D150" s="20" t="s">
        <v>3</v>
      </c>
      <c r="E150" s="3"/>
      <c r="F150" s="3"/>
      <c r="G150" s="3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83"/>
      <c r="B151" s="78"/>
      <c r="C151" s="67"/>
      <c r="D151" s="20" t="s">
        <v>1</v>
      </c>
      <c r="E151" s="3"/>
      <c r="F151" s="3"/>
      <c r="G151" s="3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s="16" customFormat="1" x14ac:dyDescent="0.25">
      <c r="A152" s="83"/>
      <c r="B152" s="551" t="s">
        <v>15</v>
      </c>
      <c r="C152" s="67"/>
      <c r="D152" s="29"/>
      <c r="E152" s="30">
        <v>2.5000000000000001E-2</v>
      </c>
      <c r="F152" s="30">
        <v>2.5000000000000001E-2</v>
      </c>
      <c r="G152" s="35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25">
      <c r="A153" s="83"/>
      <c r="B153" s="552"/>
      <c r="C153" s="529" t="s">
        <v>45</v>
      </c>
      <c r="D153" s="49" t="s">
        <v>91</v>
      </c>
      <c r="E153" s="13">
        <v>1</v>
      </c>
      <c r="F153" s="13">
        <v>1</v>
      </c>
      <c r="G153" s="37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"/>
    </row>
    <row r="154" spans="1:26" ht="31.5" customHeight="1" x14ac:dyDescent="0.25">
      <c r="A154" s="83"/>
      <c r="B154" s="552"/>
      <c r="C154" s="527"/>
      <c r="D154" s="65" t="s">
        <v>88</v>
      </c>
      <c r="E154" s="15">
        <v>0.1</v>
      </c>
      <c r="F154" s="15">
        <v>0.1</v>
      </c>
      <c r="G154" s="37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"/>
    </row>
    <row r="155" spans="1:26" x14ac:dyDescent="0.25">
      <c r="A155" s="83"/>
      <c r="B155" s="552"/>
      <c r="C155" s="527"/>
      <c r="D155" s="20" t="s">
        <v>46</v>
      </c>
      <c r="E155" s="13">
        <f>$E$33*E154</f>
        <v>698970.92727272736</v>
      </c>
      <c r="F155" s="13">
        <f>$F$33*F154</f>
        <v>6989709.2727272734</v>
      </c>
      <c r="G155" s="37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"/>
    </row>
    <row r="156" spans="1:26" s="54" customFormat="1" ht="24" customHeight="1" x14ac:dyDescent="0.25">
      <c r="A156" s="83"/>
      <c r="B156" s="552"/>
      <c r="C156" s="527"/>
      <c r="D156" s="66" t="s">
        <v>84</v>
      </c>
      <c r="E156" s="53">
        <v>30</v>
      </c>
      <c r="F156" s="53">
        <v>30</v>
      </c>
      <c r="G156" s="63"/>
      <c r="Z156" s="55"/>
    </row>
    <row r="157" spans="1:26" ht="21" customHeight="1" x14ac:dyDescent="0.25">
      <c r="A157" s="83"/>
      <c r="B157" s="552"/>
      <c r="C157" s="528"/>
      <c r="D157" s="66" t="s">
        <v>85</v>
      </c>
      <c r="E157" s="59">
        <f>$E$9+E156</f>
        <v>43217</v>
      </c>
      <c r="F157" s="59">
        <f>$E$9+F156</f>
        <v>43217</v>
      </c>
      <c r="G157" s="37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"/>
    </row>
    <row r="158" spans="1:26" ht="34.5" customHeight="1" x14ac:dyDescent="0.25">
      <c r="A158" s="83"/>
      <c r="B158" s="552"/>
      <c r="C158" s="529" t="s">
        <v>47</v>
      </c>
      <c r="D158" s="75" t="s">
        <v>93</v>
      </c>
      <c r="E158" s="76">
        <f>IF(OR(E$26&gt;E153,E$26=E153),IF(E$25&lt;E$6*0.9,E$25+0.1*E$6,IF(E$25&gt;1.1*E$6,E$25-0.1*E$6,E$6)),0)</f>
        <v>27.7</v>
      </c>
      <c r="F158" s="76">
        <f>IF(OR(F$26&gt;F153,F$26=F153),IF(F$25&lt;F$6*0.9,F$25+0.1*F$6,IF(F$25&gt;1.1*F$6,F$25-0.1*F$6,F$6)),0)</f>
        <v>230</v>
      </c>
      <c r="G158" s="68"/>
      <c r="H158" s="70"/>
      <c r="I158" s="69">
        <f t="shared" ref="I158" si="5">IF(OR(H158&gt;0,J158&gt;0),1,0)</f>
        <v>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34.5" customHeight="1" x14ac:dyDescent="0.25">
      <c r="A159" s="83"/>
      <c r="B159" s="552"/>
      <c r="C159" s="527"/>
      <c r="D159" s="75" t="s">
        <v>92</v>
      </c>
      <c r="E159" s="15">
        <v>0.1</v>
      </c>
      <c r="F159" s="15">
        <v>0.1</v>
      </c>
      <c r="G159" s="68"/>
      <c r="H159" s="73"/>
      <c r="I159" s="74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x14ac:dyDescent="0.25">
      <c r="A160" s="83"/>
      <c r="B160" s="552"/>
      <c r="C160" s="527"/>
      <c r="D160" s="20" t="s">
        <v>55</v>
      </c>
      <c r="E160" s="21">
        <f>E$33/E$6*E158*E159</f>
        <v>841804.11675889324</v>
      </c>
      <c r="F160" s="21">
        <f>F$33/F$6*F158*F159</f>
        <v>6989709.2727272734</v>
      </c>
      <c r="G160" s="37"/>
      <c r="H160" s="60"/>
      <c r="I160" s="60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83"/>
      <c r="B161" s="552"/>
      <c r="C161" s="527"/>
      <c r="D161" s="20" t="s">
        <v>44</v>
      </c>
      <c r="E161" s="21">
        <f>E160*0.18</f>
        <v>151524.74101660078</v>
      </c>
      <c r="F161" s="21">
        <f>F160*0.18</f>
        <v>1258147.6690909092</v>
      </c>
      <c r="G161" s="37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"/>
    </row>
    <row r="162" spans="1:26" ht="30" x14ac:dyDescent="0.25">
      <c r="A162" s="83"/>
      <c r="B162" s="552"/>
      <c r="C162" s="527"/>
      <c r="D162" s="20" t="s">
        <v>67</v>
      </c>
      <c r="E162" s="61" t="s">
        <v>94</v>
      </c>
      <c r="F162" s="62" t="s">
        <v>87</v>
      </c>
      <c r="G162" s="37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"/>
    </row>
    <row r="163" spans="1:26" ht="18" customHeight="1" x14ac:dyDescent="0.25">
      <c r="A163" s="83"/>
      <c r="B163" s="552"/>
      <c r="C163" s="528"/>
      <c r="D163" s="20" t="s">
        <v>89</v>
      </c>
      <c r="E163" s="23">
        <v>43235</v>
      </c>
      <c r="F163" s="23">
        <v>43235</v>
      </c>
      <c r="G163" s="37"/>
      <c r="H163" s="60"/>
      <c r="I163" s="60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8" customHeight="1" x14ac:dyDescent="0.25">
      <c r="A164" s="83"/>
      <c r="B164" s="552"/>
      <c r="C164" s="530" t="s">
        <v>48</v>
      </c>
      <c r="D164" s="20" t="s">
        <v>56</v>
      </c>
      <c r="E164" s="21"/>
      <c r="F164" s="21"/>
      <c r="G164" s="3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5">
      <c r="A165" s="83"/>
      <c r="B165" s="552"/>
      <c r="C165" s="530"/>
      <c r="D165" s="20" t="s">
        <v>57</v>
      </c>
      <c r="E165" s="21"/>
      <c r="F165" s="21"/>
      <c r="G165" s="3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5">
      <c r="A166" s="83"/>
      <c r="B166" s="552"/>
      <c r="C166" s="534" t="s">
        <v>50</v>
      </c>
      <c r="D166" s="20" t="s">
        <v>41</v>
      </c>
      <c r="E166" s="3"/>
      <c r="F166" s="3"/>
      <c r="G166" s="3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5">
      <c r="A167" s="83"/>
      <c r="B167" s="552"/>
      <c r="C167" s="534"/>
      <c r="D167" s="20" t="s">
        <v>62</v>
      </c>
      <c r="E167" s="23"/>
      <c r="F167" s="23"/>
      <c r="G167" s="3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5">
      <c r="A168" s="83"/>
      <c r="B168" s="552"/>
      <c r="C168" s="535" t="s">
        <v>58</v>
      </c>
      <c r="D168" s="20" t="s">
        <v>63</v>
      </c>
      <c r="E168" s="3"/>
      <c r="F168" s="3"/>
      <c r="G168" s="3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5">
      <c r="A169" s="83"/>
      <c r="B169" s="552"/>
      <c r="C169" s="535"/>
      <c r="D169" s="20" t="s">
        <v>59</v>
      </c>
      <c r="E169" s="23"/>
      <c r="F169" s="23"/>
      <c r="G169" s="3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x14ac:dyDescent="0.25">
      <c r="A170" s="83"/>
      <c r="B170" s="552"/>
      <c r="C170" s="67"/>
      <c r="D170" s="20" t="s">
        <v>10</v>
      </c>
      <c r="E170" s="21">
        <f>$E$33*E152</f>
        <v>174742.73181818184</v>
      </c>
      <c r="F170" s="21">
        <f>$F$33*F152</f>
        <v>1747427.3181818184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83"/>
      <c r="B171" s="552"/>
      <c r="C171" s="67"/>
      <c r="D171" s="20" t="s">
        <v>11</v>
      </c>
      <c r="E171" s="21"/>
      <c r="F171" s="21">
        <v>1747427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83"/>
      <c r="B172" s="552"/>
      <c r="C172" s="67"/>
      <c r="D172" s="20" t="s">
        <v>0</v>
      </c>
      <c r="E172" s="28"/>
      <c r="F172" s="28">
        <v>43360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83"/>
      <c r="B173" s="552"/>
      <c r="C173" s="67"/>
      <c r="D173" s="20" t="s">
        <v>2</v>
      </c>
      <c r="E173" s="3"/>
      <c r="F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83"/>
      <c r="B174" s="552"/>
      <c r="C174" s="67"/>
      <c r="D174" s="20" t="s">
        <v>3</v>
      </c>
      <c r="E174" s="3"/>
      <c r="F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83"/>
      <c r="B175" s="553"/>
      <c r="C175" s="67"/>
      <c r="D175" s="20" t="s">
        <v>1</v>
      </c>
      <c r="E175" s="3"/>
      <c r="F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s="16" customFormat="1" x14ac:dyDescent="0.25">
      <c r="A176" s="83"/>
      <c r="B176" s="550" t="s">
        <v>16</v>
      </c>
      <c r="C176" s="67"/>
      <c r="D176" s="14"/>
      <c r="E176" s="27">
        <v>0.05</v>
      </c>
      <c r="F176" s="27">
        <v>0.05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25">
      <c r="A177" s="83"/>
      <c r="B177" s="550"/>
      <c r="C177" s="529" t="s">
        <v>45</v>
      </c>
      <c r="D177" s="49" t="s">
        <v>91</v>
      </c>
      <c r="E177" s="13">
        <v>1</v>
      </c>
      <c r="F177" s="13">
        <v>1</v>
      </c>
      <c r="G177" s="37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"/>
    </row>
    <row r="178" spans="1:26" ht="31.5" customHeight="1" x14ac:dyDescent="0.25">
      <c r="A178" s="83"/>
      <c r="B178" s="550"/>
      <c r="C178" s="527"/>
      <c r="D178" s="65" t="s">
        <v>88</v>
      </c>
      <c r="E178" s="15">
        <v>0.1</v>
      </c>
      <c r="F178" s="15">
        <v>0.1</v>
      </c>
      <c r="G178" s="37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"/>
    </row>
    <row r="179" spans="1:26" x14ac:dyDescent="0.25">
      <c r="A179" s="83"/>
      <c r="B179" s="550"/>
      <c r="C179" s="527"/>
      <c r="D179" s="20" t="s">
        <v>46</v>
      </c>
      <c r="E179" s="13">
        <f>$E$33*E178</f>
        <v>698970.92727272736</v>
      </c>
      <c r="F179" s="13">
        <f>$F$33*F178</f>
        <v>6989709.2727272734</v>
      </c>
      <c r="G179" s="37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"/>
    </row>
    <row r="180" spans="1:26" s="54" customFormat="1" ht="24" customHeight="1" x14ac:dyDescent="0.25">
      <c r="A180" s="83"/>
      <c r="B180" s="550"/>
      <c r="C180" s="527"/>
      <c r="D180" s="66" t="s">
        <v>84</v>
      </c>
      <c r="E180" s="53">
        <v>30</v>
      </c>
      <c r="F180" s="53">
        <v>30</v>
      </c>
      <c r="G180" s="63"/>
      <c r="Z180" s="55"/>
    </row>
    <row r="181" spans="1:26" ht="21" customHeight="1" x14ac:dyDescent="0.25">
      <c r="A181" s="83"/>
      <c r="B181" s="550"/>
      <c r="C181" s="528"/>
      <c r="D181" s="66" t="s">
        <v>85</v>
      </c>
      <c r="E181" s="59">
        <f>$E$9+E180</f>
        <v>43217</v>
      </c>
      <c r="F181" s="59">
        <f>$E$9+F180</f>
        <v>43217</v>
      </c>
      <c r="G181" s="37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"/>
    </row>
    <row r="182" spans="1:26" ht="34.5" customHeight="1" x14ac:dyDescent="0.25">
      <c r="A182" s="83"/>
      <c r="B182" s="550"/>
      <c r="C182" s="529" t="s">
        <v>47</v>
      </c>
      <c r="D182" s="75" t="s">
        <v>93</v>
      </c>
      <c r="E182" s="76">
        <f>IF(OR(E$26&gt;E177,E$26=E177),IF(E$25&lt;E$6*0.9,E$25+0.1*E$6,IF(E$25&gt;1.1*E$6,E$25-0.1*E$6,E$6)),0)</f>
        <v>27.7</v>
      </c>
      <c r="F182" s="76">
        <f>IF(OR(F$26&gt;F177,F$26=F177),IF(F$25&lt;F$6*0.9,F$25+0.1*F$6,IF(F$25&gt;1.1*F$6,F$25-0.1*F$6,F$6)),0)</f>
        <v>230</v>
      </c>
      <c r="G182" s="68"/>
      <c r="H182" s="70"/>
      <c r="I182" s="69">
        <f t="shared" ref="I182" si="6">IF(OR(H182&gt;0,J182&gt;0),1,0)</f>
        <v>0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34.5" customHeight="1" x14ac:dyDescent="0.25">
      <c r="A183" s="83"/>
      <c r="B183" s="550"/>
      <c r="C183" s="527"/>
      <c r="D183" s="75" t="s">
        <v>92</v>
      </c>
      <c r="E183" s="15">
        <v>0.1</v>
      </c>
      <c r="F183" s="15">
        <v>0.1</v>
      </c>
      <c r="G183" s="68"/>
      <c r="H183" s="73"/>
      <c r="I183" s="74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x14ac:dyDescent="0.25">
      <c r="A184" s="83"/>
      <c r="B184" s="550"/>
      <c r="C184" s="527"/>
      <c r="D184" s="20" t="s">
        <v>55</v>
      </c>
      <c r="E184" s="21">
        <f>E$33/E$6*E182*E183</f>
        <v>841804.11675889324</v>
      </c>
      <c r="F184" s="21">
        <f>F$33/F$6*F182*F183</f>
        <v>6989709.2727272734</v>
      </c>
      <c r="G184" s="37"/>
      <c r="H184" s="60"/>
      <c r="I184" s="60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83"/>
      <c r="B185" s="550"/>
      <c r="C185" s="527"/>
      <c r="D185" s="20" t="s">
        <v>44</v>
      </c>
      <c r="E185" s="21">
        <f>E184*0.18</f>
        <v>151524.74101660078</v>
      </c>
      <c r="F185" s="21">
        <f>F184*0.18</f>
        <v>1258147.6690909092</v>
      </c>
      <c r="G185" s="37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"/>
    </row>
    <row r="186" spans="1:26" ht="30" x14ac:dyDescent="0.25">
      <c r="A186" s="83"/>
      <c r="B186" s="550"/>
      <c r="C186" s="527"/>
      <c r="D186" s="20" t="s">
        <v>67</v>
      </c>
      <c r="E186" s="61" t="s">
        <v>94</v>
      </c>
      <c r="F186" s="62" t="s">
        <v>87</v>
      </c>
      <c r="G186" s="37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"/>
    </row>
    <row r="187" spans="1:26" ht="18" customHeight="1" x14ac:dyDescent="0.25">
      <c r="A187" s="83"/>
      <c r="B187" s="550"/>
      <c r="C187" s="528"/>
      <c r="D187" s="20" t="s">
        <v>89</v>
      </c>
      <c r="E187" s="23">
        <v>43235</v>
      </c>
      <c r="F187" s="23">
        <v>43235</v>
      </c>
      <c r="G187" s="37"/>
      <c r="H187" s="60"/>
      <c r="I187" s="60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8" customHeight="1" x14ac:dyDescent="0.25">
      <c r="A188" s="83"/>
      <c r="B188" s="550"/>
      <c r="C188" s="530" t="s">
        <v>48</v>
      </c>
      <c r="D188" s="20" t="s">
        <v>56</v>
      </c>
      <c r="E188" s="21"/>
      <c r="F188" s="21"/>
      <c r="G188" s="3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5">
      <c r="A189" s="83"/>
      <c r="B189" s="550"/>
      <c r="C189" s="530"/>
      <c r="D189" s="20" t="s">
        <v>57</v>
      </c>
      <c r="E189" s="21"/>
      <c r="F189" s="21"/>
      <c r="G189" s="3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5">
      <c r="A190" s="83"/>
      <c r="B190" s="550"/>
      <c r="C190" s="534" t="s">
        <v>50</v>
      </c>
      <c r="D190" s="20" t="s">
        <v>41</v>
      </c>
      <c r="E190" s="3"/>
      <c r="F190" s="3"/>
      <c r="G190" s="3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5">
      <c r="A191" s="83"/>
      <c r="B191" s="550"/>
      <c r="C191" s="534"/>
      <c r="D191" s="20" t="s">
        <v>62</v>
      </c>
      <c r="E191" s="23"/>
      <c r="F191" s="23"/>
      <c r="G191" s="3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5">
      <c r="A192" s="83"/>
      <c r="B192" s="550"/>
      <c r="C192" s="535" t="s">
        <v>58</v>
      </c>
      <c r="D192" s="20" t="s">
        <v>63</v>
      </c>
      <c r="E192" s="3"/>
      <c r="F192" s="3"/>
      <c r="G192" s="3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5">
      <c r="A193" s="83"/>
      <c r="B193" s="550"/>
      <c r="C193" s="535"/>
      <c r="D193" s="20" t="s">
        <v>59</v>
      </c>
      <c r="E193" s="23"/>
      <c r="F193" s="23"/>
      <c r="G193" s="3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x14ac:dyDescent="0.25">
      <c r="A194" s="83"/>
      <c r="B194" s="550"/>
      <c r="C194" s="67"/>
      <c r="D194" s="20" t="s">
        <v>10</v>
      </c>
      <c r="E194" s="21">
        <f>$E$33*F176</f>
        <v>349485.46363636368</v>
      </c>
      <c r="F194" s="21">
        <f>$F$33*F176</f>
        <v>3494854.6363636367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83"/>
      <c r="B195" s="550"/>
      <c r="C195" s="67"/>
      <c r="D195" s="20" t="s">
        <v>11</v>
      </c>
      <c r="E195" s="21"/>
      <c r="F195" s="21">
        <v>2096913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83"/>
      <c r="B196" s="550"/>
      <c r="C196" s="67"/>
      <c r="D196" s="20" t="s">
        <v>0</v>
      </c>
      <c r="E196" s="3"/>
      <c r="F196" s="28">
        <v>43522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83"/>
      <c r="B197" s="550"/>
      <c r="C197" s="52"/>
      <c r="D197" s="20" t="s">
        <v>2</v>
      </c>
      <c r="E197" s="3"/>
      <c r="F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83"/>
      <c r="B198" s="550"/>
      <c r="C198" s="52"/>
      <c r="D198" s="20" t="s">
        <v>3</v>
      </c>
      <c r="E198" s="3"/>
      <c r="F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83"/>
      <c r="B199" s="550"/>
      <c r="C199" s="52"/>
      <c r="D199" s="20" t="s">
        <v>1</v>
      </c>
      <c r="E199" s="3"/>
      <c r="F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s="16" customFormat="1" x14ac:dyDescent="0.25">
      <c r="A200" s="83"/>
      <c r="B200" s="550" t="s">
        <v>17</v>
      </c>
      <c r="C200" s="52"/>
      <c r="D200" s="14"/>
      <c r="E200" s="27">
        <v>0.1</v>
      </c>
      <c r="F200" s="27">
        <v>0.1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25">
      <c r="A201" s="83"/>
      <c r="B201" s="550"/>
      <c r="C201" s="529" t="s">
        <v>45</v>
      </c>
      <c r="D201" s="49" t="s">
        <v>91</v>
      </c>
      <c r="E201" s="13">
        <v>1</v>
      </c>
      <c r="F201" s="13">
        <v>1</v>
      </c>
      <c r="G201" s="37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"/>
    </row>
    <row r="202" spans="1:26" ht="31.5" customHeight="1" x14ac:dyDescent="0.25">
      <c r="A202" s="83"/>
      <c r="B202" s="550"/>
      <c r="C202" s="527"/>
      <c r="D202" s="65" t="s">
        <v>88</v>
      </c>
      <c r="E202" s="15">
        <v>0.1</v>
      </c>
      <c r="F202" s="15">
        <v>0.1</v>
      </c>
      <c r="G202" s="37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"/>
    </row>
    <row r="203" spans="1:26" x14ac:dyDescent="0.25">
      <c r="A203" s="83"/>
      <c r="B203" s="550"/>
      <c r="C203" s="527"/>
      <c r="D203" s="20" t="s">
        <v>46</v>
      </c>
      <c r="E203" s="13">
        <f>$E$33*E202</f>
        <v>698970.92727272736</v>
      </c>
      <c r="F203" s="13">
        <f>$F$33*F202</f>
        <v>6989709.2727272734</v>
      </c>
      <c r="G203" s="37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"/>
    </row>
    <row r="204" spans="1:26" s="54" customFormat="1" ht="24" customHeight="1" x14ac:dyDescent="0.25">
      <c r="A204" s="83"/>
      <c r="B204" s="550"/>
      <c r="C204" s="527"/>
      <c r="D204" s="66" t="s">
        <v>84</v>
      </c>
      <c r="E204" s="53">
        <v>30</v>
      </c>
      <c r="F204" s="53">
        <v>30</v>
      </c>
      <c r="G204" s="63"/>
      <c r="Z204" s="55"/>
    </row>
    <row r="205" spans="1:26" ht="21" customHeight="1" x14ac:dyDescent="0.25">
      <c r="A205" s="83"/>
      <c r="B205" s="550"/>
      <c r="C205" s="528"/>
      <c r="D205" s="66" t="s">
        <v>85</v>
      </c>
      <c r="E205" s="59">
        <f>$E$9+E204</f>
        <v>43217</v>
      </c>
      <c r="F205" s="59">
        <f>$E$9+F204</f>
        <v>43217</v>
      </c>
      <c r="G205" s="37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"/>
    </row>
    <row r="206" spans="1:26" ht="34.5" customHeight="1" x14ac:dyDescent="0.25">
      <c r="A206" s="83"/>
      <c r="B206" s="550"/>
      <c r="C206" s="529" t="s">
        <v>47</v>
      </c>
      <c r="D206" s="75" t="s">
        <v>93</v>
      </c>
      <c r="E206" s="76">
        <f>IF(OR(E$26&gt;E201,E$26=E201),IF(E$25&lt;E$6*0.9,E$25+0.1*E$6,IF(E$25&gt;1.1*E$6,E$25-0.1*E$6,E$6)),0)</f>
        <v>27.7</v>
      </c>
      <c r="F206" s="76">
        <f>IF(OR(F$26&gt;F201,F$26=F201),IF(F$25&lt;F$6*0.9,F$25+0.1*F$6,IF(F$25&gt;1.1*F$6,F$25-0.1*F$6,F$6)),0)</f>
        <v>230</v>
      </c>
      <c r="G206" s="68"/>
      <c r="H206" s="70"/>
      <c r="I206" s="69">
        <f t="shared" ref="I206" si="7">IF(OR(H206&gt;0,J206&gt;0),1,0)</f>
        <v>0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34.5" customHeight="1" x14ac:dyDescent="0.25">
      <c r="A207" s="83"/>
      <c r="B207" s="550"/>
      <c r="C207" s="527"/>
      <c r="D207" s="75" t="s">
        <v>92</v>
      </c>
      <c r="E207" s="15">
        <v>0.1</v>
      </c>
      <c r="F207" s="15">
        <v>0.1</v>
      </c>
      <c r="G207" s="68"/>
      <c r="H207" s="73"/>
      <c r="I207" s="74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x14ac:dyDescent="0.25">
      <c r="A208" s="83"/>
      <c r="B208" s="550"/>
      <c r="C208" s="527"/>
      <c r="D208" s="20" t="s">
        <v>55</v>
      </c>
      <c r="E208" s="21">
        <f>E$33/E$6*E206*E207</f>
        <v>841804.11675889324</v>
      </c>
      <c r="F208" s="21">
        <f>F$33/F$6*F206*F207</f>
        <v>6989709.2727272734</v>
      </c>
      <c r="G208" s="37"/>
      <c r="H208" s="60"/>
      <c r="I208" s="60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83"/>
      <c r="B209" s="550"/>
      <c r="C209" s="527"/>
      <c r="D209" s="20" t="s">
        <v>44</v>
      </c>
      <c r="E209" s="21">
        <f>E208*0.18</f>
        <v>151524.74101660078</v>
      </c>
      <c r="F209" s="21">
        <f>F208*0.18</f>
        <v>1258147.6690909092</v>
      </c>
      <c r="G209" s="37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"/>
    </row>
    <row r="210" spans="1:26" ht="30" x14ac:dyDescent="0.25">
      <c r="A210" s="83"/>
      <c r="B210" s="550"/>
      <c r="C210" s="527"/>
      <c r="D210" s="20" t="s">
        <v>67</v>
      </c>
      <c r="E210" s="61" t="s">
        <v>94</v>
      </c>
      <c r="F210" s="62" t="s">
        <v>87</v>
      </c>
      <c r="G210" s="37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"/>
    </row>
    <row r="211" spans="1:26" ht="18" customHeight="1" x14ac:dyDescent="0.25">
      <c r="A211" s="83"/>
      <c r="B211" s="550"/>
      <c r="C211" s="528"/>
      <c r="D211" s="20" t="s">
        <v>89</v>
      </c>
      <c r="E211" s="23">
        <v>43235</v>
      </c>
      <c r="F211" s="23">
        <v>43235</v>
      </c>
      <c r="G211" s="37"/>
      <c r="H211" s="60"/>
      <c r="I211" s="60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8" customHeight="1" x14ac:dyDescent="0.25">
      <c r="A212" s="83"/>
      <c r="B212" s="550"/>
      <c r="C212" s="530" t="s">
        <v>48</v>
      </c>
      <c r="D212" s="20" t="s">
        <v>56</v>
      </c>
      <c r="E212" s="21"/>
      <c r="F212" s="21"/>
      <c r="G212" s="3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5">
      <c r="A213" s="83"/>
      <c r="B213" s="550"/>
      <c r="C213" s="530"/>
      <c r="D213" s="20" t="s">
        <v>57</v>
      </c>
      <c r="E213" s="21"/>
      <c r="F213" s="21"/>
      <c r="G213" s="3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5">
      <c r="A214" s="83"/>
      <c r="B214" s="550"/>
      <c r="C214" s="534" t="s">
        <v>50</v>
      </c>
      <c r="D214" s="20" t="s">
        <v>41</v>
      </c>
      <c r="E214" s="3"/>
      <c r="F214" s="3"/>
      <c r="G214" s="3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5">
      <c r="A215" s="83"/>
      <c r="B215" s="550"/>
      <c r="C215" s="534"/>
      <c r="D215" s="20" t="s">
        <v>62</v>
      </c>
      <c r="E215" s="23"/>
      <c r="F215" s="23"/>
      <c r="G215" s="3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5">
      <c r="A216" s="83"/>
      <c r="B216" s="550"/>
      <c r="C216" s="535" t="s">
        <v>58</v>
      </c>
      <c r="D216" s="20" t="s">
        <v>63</v>
      </c>
      <c r="E216" s="3"/>
      <c r="F216" s="3"/>
      <c r="G216" s="3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5">
      <c r="A217" s="83"/>
      <c r="B217" s="550"/>
      <c r="C217" s="535"/>
      <c r="D217" s="20" t="s">
        <v>59</v>
      </c>
      <c r="E217" s="23"/>
      <c r="F217" s="23"/>
      <c r="G217" s="3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x14ac:dyDescent="0.25">
      <c r="A218" s="83"/>
      <c r="B218" s="550"/>
      <c r="C218" s="67"/>
      <c r="D218" s="20" t="s">
        <v>10</v>
      </c>
      <c r="E218" s="21">
        <f>$E$33*F200</f>
        <v>698970.92727272736</v>
      </c>
      <c r="F218" s="21">
        <f>$F$33*F200</f>
        <v>6989709.2727272734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83"/>
      <c r="B219" s="550"/>
      <c r="C219" s="67"/>
      <c r="D219" s="20" t="s">
        <v>11</v>
      </c>
      <c r="E219" s="23"/>
      <c r="F219" s="21">
        <v>6989709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83"/>
      <c r="B220" s="550"/>
      <c r="C220" s="67"/>
      <c r="D220" s="20" t="s">
        <v>0</v>
      </c>
      <c r="E220" s="3"/>
      <c r="F220" s="28">
        <v>43626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83"/>
      <c r="B221" s="550"/>
      <c r="C221" s="67"/>
      <c r="D221" s="20" t="s">
        <v>2</v>
      </c>
      <c r="E221" s="3"/>
      <c r="F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83"/>
      <c r="B222" s="550"/>
      <c r="C222" s="67"/>
      <c r="D222" s="20" t="s">
        <v>3</v>
      </c>
      <c r="E222" s="3"/>
      <c r="F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83"/>
      <c r="B223" s="550"/>
      <c r="C223" s="67"/>
      <c r="D223" s="20" t="s">
        <v>1</v>
      </c>
      <c r="E223" s="3"/>
      <c r="F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s="32" customFormat="1" x14ac:dyDescent="0.25">
      <c r="A224" s="83"/>
      <c r="B224" s="551" t="s">
        <v>18</v>
      </c>
      <c r="C224" s="67"/>
      <c r="D224" s="14"/>
      <c r="E224" s="27">
        <v>0.05</v>
      </c>
      <c r="F224" s="27">
        <v>0.05</v>
      </c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83"/>
      <c r="B225" s="552"/>
      <c r="C225" s="529" t="s">
        <v>45</v>
      </c>
      <c r="D225" s="49" t="s">
        <v>91</v>
      </c>
      <c r="E225" s="13">
        <v>1</v>
      </c>
      <c r="F225" s="13">
        <v>1</v>
      </c>
      <c r="G225" s="37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"/>
    </row>
    <row r="226" spans="1:26" ht="31.5" customHeight="1" x14ac:dyDescent="0.25">
      <c r="A226" s="83"/>
      <c r="B226" s="552"/>
      <c r="C226" s="527"/>
      <c r="D226" s="65" t="s">
        <v>88</v>
      </c>
      <c r="E226" s="15">
        <v>0.1</v>
      </c>
      <c r="F226" s="15">
        <v>0.1</v>
      </c>
      <c r="G226" s="37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"/>
    </row>
    <row r="227" spans="1:26" x14ac:dyDescent="0.25">
      <c r="A227" s="83"/>
      <c r="B227" s="552"/>
      <c r="C227" s="527"/>
      <c r="D227" s="20" t="s">
        <v>46</v>
      </c>
      <c r="E227" s="13">
        <f>$E$33*E226</f>
        <v>698970.92727272736</v>
      </c>
      <c r="F227" s="13">
        <f>$F$33*F226</f>
        <v>6989709.2727272734</v>
      </c>
      <c r="G227" s="37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"/>
    </row>
    <row r="228" spans="1:26" s="54" customFormat="1" ht="24" customHeight="1" x14ac:dyDescent="0.25">
      <c r="A228" s="83"/>
      <c r="B228" s="552"/>
      <c r="C228" s="527"/>
      <c r="D228" s="66" t="s">
        <v>84</v>
      </c>
      <c r="E228" s="53">
        <v>30</v>
      </c>
      <c r="F228" s="53">
        <v>30</v>
      </c>
      <c r="G228" s="63"/>
      <c r="Z228" s="55"/>
    </row>
    <row r="229" spans="1:26" ht="21" customHeight="1" x14ac:dyDescent="0.25">
      <c r="A229" s="83"/>
      <c r="B229" s="552"/>
      <c r="C229" s="528"/>
      <c r="D229" s="66" t="s">
        <v>85</v>
      </c>
      <c r="E229" s="59">
        <f>$E$9+E228</f>
        <v>43217</v>
      </c>
      <c r="F229" s="59">
        <f>$E$9+F228</f>
        <v>43217</v>
      </c>
      <c r="G229" s="37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"/>
    </row>
    <row r="230" spans="1:26" ht="34.5" customHeight="1" x14ac:dyDescent="0.25">
      <c r="A230" s="83"/>
      <c r="B230" s="552"/>
      <c r="C230" s="529" t="s">
        <v>47</v>
      </c>
      <c r="D230" s="75" t="s">
        <v>93</v>
      </c>
      <c r="E230" s="76">
        <f>IF(OR(E$26&gt;E225,E$26=E225),IF(E$25&lt;E$6*0.9,E$25+0.1*E$6,IF(E$25&gt;1.1*E$6,E$25-0.1*E$6,E$6)),0)</f>
        <v>27.7</v>
      </c>
      <c r="F230" s="76">
        <f>IF(OR(F$26&gt;F225,F$26=F225),IF(F$25&lt;F$6*0.9,F$25+0.1*F$6,IF(F$25&gt;1.1*F$6,F$25-0.1*F$6,F$6)),0)</f>
        <v>230</v>
      </c>
      <c r="G230" s="68"/>
      <c r="H230" s="70"/>
      <c r="I230" s="69">
        <f t="shared" ref="I230" si="8">IF(OR(H230&gt;0,J230&gt;0),1,0)</f>
        <v>0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34.5" customHeight="1" x14ac:dyDescent="0.25">
      <c r="A231" s="83"/>
      <c r="B231" s="552"/>
      <c r="C231" s="527"/>
      <c r="D231" s="75" t="s">
        <v>92</v>
      </c>
      <c r="E231" s="15">
        <v>0.1</v>
      </c>
      <c r="F231" s="15">
        <v>0.1</v>
      </c>
      <c r="G231" s="68"/>
      <c r="H231" s="73"/>
      <c r="I231" s="74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x14ac:dyDescent="0.25">
      <c r="A232" s="83"/>
      <c r="B232" s="552"/>
      <c r="C232" s="527"/>
      <c r="D232" s="20" t="s">
        <v>55</v>
      </c>
      <c r="E232" s="21">
        <f>E$33/E$6*E230*E231</f>
        <v>841804.11675889324</v>
      </c>
      <c r="F232" s="21">
        <f>F$33/F$6*F230*F231</f>
        <v>6989709.2727272734</v>
      </c>
      <c r="G232" s="37"/>
      <c r="H232" s="60"/>
      <c r="I232" s="60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83"/>
      <c r="B233" s="552"/>
      <c r="C233" s="527"/>
      <c r="D233" s="20" t="s">
        <v>44</v>
      </c>
      <c r="E233" s="21">
        <f>E232*0.18</f>
        <v>151524.74101660078</v>
      </c>
      <c r="F233" s="21">
        <f>F232*0.18</f>
        <v>1258147.6690909092</v>
      </c>
      <c r="G233" s="37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"/>
    </row>
    <row r="234" spans="1:26" ht="30" x14ac:dyDescent="0.25">
      <c r="A234" s="83"/>
      <c r="B234" s="552"/>
      <c r="C234" s="527"/>
      <c r="D234" s="20" t="s">
        <v>67</v>
      </c>
      <c r="E234" s="61" t="s">
        <v>94</v>
      </c>
      <c r="F234" s="62" t="s">
        <v>87</v>
      </c>
      <c r="G234" s="37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"/>
    </row>
    <row r="235" spans="1:26" ht="18" customHeight="1" x14ac:dyDescent="0.25">
      <c r="A235" s="83"/>
      <c r="B235" s="552"/>
      <c r="C235" s="528"/>
      <c r="D235" s="20" t="s">
        <v>89</v>
      </c>
      <c r="E235" s="23">
        <v>43235</v>
      </c>
      <c r="F235" s="23">
        <v>43235</v>
      </c>
      <c r="G235" s="37"/>
      <c r="H235" s="60"/>
      <c r="I235" s="60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8" customHeight="1" x14ac:dyDescent="0.25">
      <c r="A236" s="83"/>
      <c r="B236" s="552"/>
      <c r="C236" s="530" t="s">
        <v>48</v>
      </c>
      <c r="D236" s="20" t="s">
        <v>56</v>
      </c>
      <c r="E236" s="21"/>
      <c r="F236" s="21"/>
      <c r="G236" s="37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5">
      <c r="A237" s="83"/>
      <c r="B237" s="552"/>
      <c r="C237" s="530"/>
      <c r="D237" s="20" t="s">
        <v>57</v>
      </c>
      <c r="E237" s="21"/>
      <c r="F237" s="21"/>
      <c r="G237" s="37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5">
      <c r="A238" s="83"/>
      <c r="B238" s="552"/>
      <c r="C238" s="534" t="s">
        <v>50</v>
      </c>
      <c r="D238" s="20" t="s">
        <v>41</v>
      </c>
      <c r="E238" s="3"/>
      <c r="F238" s="3"/>
      <c r="G238" s="37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5">
      <c r="A239" s="83"/>
      <c r="B239" s="552"/>
      <c r="C239" s="534"/>
      <c r="D239" s="20" t="s">
        <v>62</v>
      </c>
      <c r="E239" s="23"/>
      <c r="F239" s="23"/>
      <c r="G239" s="37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5">
      <c r="A240" s="83"/>
      <c r="B240" s="552"/>
      <c r="C240" s="535" t="s">
        <v>58</v>
      </c>
      <c r="D240" s="20" t="s">
        <v>63</v>
      </c>
      <c r="E240" s="3"/>
      <c r="F240" s="3"/>
      <c r="G240" s="37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5">
      <c r="A241" s="83"/>
      <c r="B241" s="552"/>
      <c r="C241" s="535"/>
      <c r="D241" s="20" t="s">
        <v>59</v>
      </c>
      <c r="E241" s="23"/>
      <c r="F241" s="23"/>
      <c r="G241" s="37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25">
      <c r="A242" s="83"/>
      <c r="B242" s="552"/>
      <c r="C242" s="67"/>
      <c r="D242" s="20" t="s">
        <v>10</v>
      </c>
      <c r="E242" s="21">
        <f>$E$33*F224</f>
        <v>349485.46363636368</v>
      </c>
      <c r="F242" s="21">
        <f>$F$33*F224</f>
        <v>3494854.6363636367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83"/>
      <c r="B243" s="552"/>
      <c r="C243" s="67"/>
      <c r="D243" s="20" t="s">
        <v>11</v>
      </c>
      <c r="E243" s="23"/>
      <c r="F243" s="21">
        <v>3494855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83"/>
      <c r="B244" s="552"/>
      <c r="C244" s="67"/>
      <c r="D244" s="20" t="s">
        <v>0</v>
      </c>
      <c r="E244" s="3"/>
      <c r="F244" s="28">
        <v>43417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83"/>
      <c r="B245" s="552"/>
      <c r="C245" s="67"/>
      <c r="D245" s="20" t="s">
        <v>2</v>
      </c>
      <c r="E245" s="3"/>
      <c r="F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83"/>
      <c r="B246" s="552"/>
      <c r="C246" s="67"/>
      <c r="D246" s="20" t="s">
        <v>3</v>
      </c>
      <c r="E246" s="3"/>
      <c r="F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83"/>
      <c r="B247" s="553"/>
      <c r="C247" s="67"/>
      <c r="D247" s="20" t="s">
        <v>1</v>
      </c>
      <c r="E247" s="3"/>
      <c r="F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s="16" customFormat="1" x14ac:dyDescent="0.25">
      <c r="A248" s="83"/>
      <c r="B248" s="550" t="s">
        <v>19</v>
      </c>
      <c r="C248" s="67"/>
      <c r="D248" s="14"/>
      <c r="E248" s="27">
        <v>0.1</v>
      </c>
      <c r="F248" s="27">
        <v>0.1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25">
      <c r="A249" s="83"/>
      <c r="B249" s="550"/>
      <c r="C249" s="529" t="s">
        <v>45</v>
      </c>
      <c r="D249" s="49" t="s">
        <v>91</v>
      </c>
      <c r="E249" s="13">
        <v>1</v>
      </c>
      <c r="F249" s="13">
        <v>1</v>
      </c>
      <c r="G249" s="37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"/>
    </row>
    <row r="250" spans="1:26" ht="31.5" customHeight="1" x14ac:dyDescent="0.25">
      <c r="A250" s="83"/>
      <c r="B250" s="550"/>
      <c r="C250" s="527"/>
      <c r="D250" s="65" t="s">
        <v>88</v>
      </c>
      <c r="E250" s="15">
        <v>0.1</v>
      </c>
      <c r="F250" s="15">
        <v>0.1</v>
      </c>
      <c r="G250" s="37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"/>
    </row>
    <row r="251" spans="1:26" x14ac:dyDescent="0.25">
      <c r="A251" s="83"/>
      <c r="B251" s="550"/>
      <c r="C251" s="527"/>
      <c r="D251" s="20" t="s">
        <v>46</v>
      </c>
      <c r="E251" s="13">
        <f>$E$33*E250</f>
        <v>698970.92727272736</v>
      </c>
      <c r="F251" s="13">
        <f>$F$33*F250</f>
        <v>6989709.2727272734</v>
      </c>
      <c r="G251" s="37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"/>
    </row>
    <row r="252" spans="1:26" s="54" customFormat="1" ht="24" customHeight="1" x14ac:dyDescent="0.25">
      <c r="A252" s="83"/>
      <c r="B252" s="550"/>
      <c r="C252" s="527"/>
      <c r="D252" s="66" t="s">
        <v>84</v>
      </c>
      <c r="E252" s="53">
        <v>30</v>
      </c>
      <c r="F252" s="53">
        <v>30</v>
      </c>
      <c r="G252" s="63"/>
      <c r="Z252" s="55"/>
    </row>
    <row r="253" spans="1:26" ht="21" customHeight="1" x14ac:dyDescent="0.25">
      <c r="A253" s="83"/>
      <c r="B253" s="550"/>
      <c r="C253" s="528"/>
      <c r="D253" s="66" t="s">
        <v>85</v>
      </c>
      <c r="E253" s="59">
        <f>$E$9+E252</f>
        <v>43217</v>
      </c>
      <c r="F253" s="59">
        <f>$E$9+F252</f>
        <v>43217</v>
      </c>
      <c r="G253" s="37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"/>
    </row>
    <row r="254" spans="1:26" ht="34.5" customHeight="1" x14ac:dyDescent="0.25">
      <c r="A254" s="83"/>
      <c r="B254" s="550"/>
      <c r="C254" s="529" t="s">
        <v>47</v>
      </c>
      <c r="D254" s="75" t="s">
        <v>93</v>
      </c>
      <c r="E254" s="76">
        <f>IF(OR(E$26&gt;E249,E$26=E249),IF(E$25&lt;E$6*0.9,E$25+0.1*E$6,IF(E$25&gt;1.1*E$6,E$25-0.1*E$6,E$6)),0)</f>
        <v>27.7</v>
      </c>
      <c r="F254" s="76">
        <f>IF(OR(F$26&gt;F249,F$26=F249),IF(F$25&lt;F$6*0.9,F$25+0.1*F$6,IF(F$25&gt;1.1*F$6,F$25-0.1*F$6,F$6)),0)</f>
        <v>230</v>
      </c>
      <c r="G254" s="68"/>
      <c r="H254" s="70"/>
      <c r="I254" s="69">
        <f t="shared" ref="I254" si="9">IF(OR(H254&gt;0,J254&gt;0),1,0)</f>
        <v>0</v>
      </c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34.5" customHeight="1" x14ac:dyDescent="0.25">
      <c r="A255" s="83"/>
      <c r="B255" s="550"/>
      <c r="C255" s="527"/>
      <c r="D255" s="75" t="s">
        <v>92</v>
      </c>
      <c r="E255" s="15">
        <v>0.1</v>
      </c>
      <c r="F255" s="15">
        <v>0.1</v>
      </c>
      <c r="G255" s="68"/>
      <c r="H255" s="73"/>
      <c r="I255" s="74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x14ac:dyDescent="0.25">
      <c r="A256" s="83"/>
      <c r="B256" s="550"/>
      <c r="C256" s="527"/>
      <c r="D256" s="20" t="s">
        <v>55</v>
      </c>
      <c r="E256" s="21">
        <f>E$33/E$6*E254*E255</f>
        <v>841804.11675889324</v>
      </c>
      <c r="F256" s="21">
        <f>F$33/F$6*F254*F255</f>
        <v>6989709.2727272734</v>
      </c>
      <c r="G256" s="37"/>
      <c r="H256" s="60"/>
      <c r="I256" s="60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83"/>
      <c r="B257" s="550"/>
      <c r="C257" s="527"/>
      <c r="D257" s="20" t="s">
        <v>44</v>
      </c>
      <c r="E257" s="21">
        <f>E256*0.18</f>
        <v>151524.74101660078</v>
      </c>
      <c r="F257" s="21">
        <f>F256*0.18</f>
        <v>1258147.6690909092</v>
      </c>
      <c r="G257" s="37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"/>
    </row>
    <row r="258" spans="1:26" ht="30" x14ac:dyDescent="0.25">
      <c r="A258" s="83"/>
      <c r="B258" s="550"/>
      <c r="C258" s="527"/>
      <c r="D258" s="20" t="s">
        <v>67</v>
      </c>
      <c r="E258" s="61" t="s">
        <v>94</v>
      </c>
      <c r="F258" s="62" t="s">
        <v>87</v>
      </c>
      <c r="G258" s="37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"/>
    </row>
    <row r="259" spans="1:26" ht="18" customHeight="1" x14ac:dyDescent="0.25">
      <c r="A259" s="83"/>
      <c r="B259" s="550"/>
      <c r="C259" s="528"/>
      <c r="D259" s="20" t="s">
        <v>89</v>
      </c>
      <c r="E259" s="23">
        <v>43235</v>
      </c>
      <c r="F259" s="23">
        <v>43235</v>
      </c>
      <c r="G259" s="37"/>
      <c r="H259" s="60"/>
      <c r="I259" s="60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8" customHeight="1" x14ac:dyDescent="0.25">
      <c r="A260" s="83"/>
      <c r="B260" s="550"/>
      <c r="C260" s="530" t="s">
        <v>48</v>
      </c>
      <c r="D260" s="20" t="s">
        <v>56</v>
      </c>
      <c r="E260" s="21"/>
      <c r="F260" s="21"/>
      <c r="G260" s="37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5">
      <c r="A261" s="83"/>
      <c r="B261" s="550"/>
      <c r="C261" s="530"/>
      <c r="D261" s="20" t="s">
        <v>57</v>
      </c>
      <c r="E261" s="21"/>
      <c r="F261" s="21"/>
      <c r="G261" s="37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5">
      <c r="A262" s="83"/>
      <c r="B262" s="550"/>
      <c r="C262" s="534" t="s">
        <v>50</v>
      </c>
      <c r="D262" s="20" t="s">
        <v>41</v>
      </c>
      <c r="E262" s="3"/>
      <c r="F262" s="3"/>
      <c r="G262" s="37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5">
      <c r="A263" s="83"/>
      <c r="B263" s="550"/>
      <c r="C263" s="534"/>
      <c r="D263" s="20" t="s">
        <v>62</v>
      </c>
      <c r="E263" s="23"/>
      <c r="F263" s="23"/>
      <c r="G263" s="37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5">
      <c r="A264" s="83"/>
      <c r="B264" s="550"/>
      <c r="C264" s="535" t="s">
        <v>58</v>
      </c>
      <c r="D264" s="20" t="s">
        <v>63</v>
      </c>
      <c r="E264" s="3"/>
      <c r="F264" s="3"/>
      <c r="G264" s="37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5">
      <c r="A265" s="83"/>
      <c r="B265" s="550"/>
      <c r="C265" s="535"/>
      <c r="D265" s="20" t="s">
        <v>59</v>
      </c>
      <c r="E265" s="23"/>
      <c r="F265" s="23"/>
      <c r="G265" s="37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x14ac:dyDescent="0.25">
      <c r="A266" s="83"/>
      <c r="B266" s="550"/>
      <c r="C266" s="67"/>
      <c r="D266" s="20" t="s">
        <v>10</v>
      </c>
      <c r="E266" s="21">
        <f>$E$33*F248</f>
        <v>698970.92727272736</v>
      </c>
      <c r="F266" s="21">
        <f>$F$33*F248</f>
        <v>6989709.2727272734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83"/>
      <c r="B267" s="550"/>
      <c r="C267" s="67"/>
      <c r="D267" s="20" t="s">
        <v>11</v>
      </c>
      <c r="E267" s="23"/>
      <c r="F267" s="21">
        <v>6989709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83"/>
      <c r="B268" s="550"/>
      <c r="C268" s="67"/>
      <c r="D268" s="20" t="s">
        <v>0</v>
      </c>
      <c r="E268" s="3"/>
      <c r="F268" s="28">
        <v>43433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83"/>
      <c r="B269" s="550"/>
      <c r="C269" s="52"/>
      <c r="D269" s="20" t="s">
        <v>2</v>
      </c>
      <c r="E269" s="3"/>
      <c r="F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83"/>
      <c r="B270" s="550"/>
      <c r="C270" s="52"/>
      <c r="D270" s="20" t="s">
        <v>3</v>
      </c>
      <c r="E270" s="3"/>
      <c r="F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83"/>
      <c r="B271" s="550"/>
      <c r="C271" s="52"/>
      <c r="D271" s="20" t="s">
        <v>1</v>
      </c>
      <c r="E271" s="3"/>
      <c r="F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s="16" customFormat="1" x14ac:dyDescent="0.25">
      <c r="A272" s="83"/>
      <c r="B272" s="550" t="s">
        <v>20</v>
      </c>
      <c r="C272" s="52"/>
      <c r="D272" s="14"/>
      <c r="E272" s="27">
        <v>0.05</v>
      </c>
      <c r="F272" s="27">
        <v>0.05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25">
      <c r="A273" s="83"/>
      <c r="B273" s="550"/>
      <c r="C273" s="529" t="s">
        <v>45</v>
      </c>
      <c r="D273" s="49" t="s">
        <v>91</v>
      </c>
      <c r="E273" s="13">
        <v>1</v>
      </c>
      <c r="F273" s="13">
        <v>1</v>
      </c>
      <c r="G273" s="37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"/>
    </row>
    <row r="274" spans="1:26" ht="31.5" customHeight="1" x14ac:dyDescent="0.25">
      <c r="A274" s="83"/>
      <c r="B274" s="550"/>
      <c r="C274" s="527"/>
      <c r="D274" s="65" t="s">
        <v>88</v>
      </c>
      <c r="E274" s="15">
        <v>0.1</v>
      </c>
      <c r="F274" s="15">
        <v>0.1</v>
      </c>
      <c r="G274" s="37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"/>
    </row>
    <row r="275" spans="1:26" x14ac:dyDescent="0.25">
      <c r="A275" s="83"/>
      <c r="B275" s="550"/>
      <c r="C275" s="527"/>
      <c r="D275" s="20" t="s">
        <v>46</v>
      </c>
      <c r="E275" s="13">
        <f>$E$33*E274</f>
        <v>698970.92727272736</v>
      </c>
      <c r="F275" s="13">
        <f>$F$33*F274</f>
        <v>6989709.2727272734</v>
      </c>
      <c r="G275" s="37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"/>
    </row>
    <row r="276" spans="1:26" s="54" customFormat="1" ht="24" customHeight="1" x14ac:dyDescent="0.25">
      <c r="A276" s="83"/>
      <c r="B276" s="550"/>
      <c r="C276" s="527"/>
      <c r="D276" s="66" t="s">
        <v>84</v>
      </c>
      <c r="E276" s="53">
        <v>30</v>
      </c>
      <c r="F276" s="53">
        <v>30</v>
      </c>
      <c r="G276" s="63"/>
      <c r="Z276" s="55"/>
    </row>
    <row r="277" spans="1:26" ht="21" customHeight="1" x14ac:dyDescent="0.25">
      <c r="A277" s="83"/>
      <c r="B277" s="550"/>
      <c r="C277" s="528"/>
      <c r="D277" s="66" t="s">
        <v>85</v>
      </c>
      <c r="E277" s="59">
        <f>$E$9+E276</f>
        <v>43217</v>
      </c>
      <c r="F277" s="59">
        <f>$E$9+F276</f>
        <v>43217</v>
      </c>
      <c r="G277" s="37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"/>
    </row>
    <row r="278" spans="1:26" ht="34.5" customHeight="1" x14ac:dyDescent="0.25">
      <c r="A278" s="83"/>
      <c r="B278" s="550"/>
      <c r="C278" s="529" t="s">
        <v>47</v>
      </c>
      <c r="D278" s="75" t="s">
        <v>93</v>
      </c>
      <c r="E278" s="76">
        <f>IF(OR(E$26&gt;E273,E$26=E273),IF(E$25&lt;E$6*0.9,E$25+0.1*E$6,IF(E$25&gt;1.1*E$6,E$25-0.1*E$6,E$6)),0)</f>
        <v>27.7</v>
      </c>
      <c r="F278" s="76">
        <f>IF(OR(F$26&gt;F273,F$26=F273),IF(F$25&lt;F$6*0.9,F$25+0.1*F$6,IF(F$25&gt;1.1*F$6,F$25-0.1*F$6,F$6)),0)</f>
        <v>230</v>
      </c>
      <c r="G278" s="68"/>
      <c r="H278" s="70"/>
      <c r="I278" s="69">
        <f t="shared" ref="I278" si="10">IF(OR(H278&gt;0,J278&gt;0),1,0)</f>
        <v>0</v>
      </c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34.5" customHeight="1" x14ac:dyDescent="0.25">
      <c r="A279" s="83"/>
      <c r="B279" s="550"/>
      <c r="C279" s="527"/>
      <c r="D279" s="75" t="s">
        <v>92</v>
      </c>
      <c r="E279" s="15">
        <v>0.1</v>
      </c>
      <c r="F279" s="15">
        <v>0.1</v>
      </c>
      <c r="G279" s="68"/>
      <c r="H279" s="73"/>
      <c r="I279" s="74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x14ac:dyDescent="0.25">
      <c r="A280" s="83"/>
      <c r="B280" s="550"/>
      <c r="C280" s="527"/>
      <c r="D280" s="20" t="s">
        <v>55</v>
      </c>
      <c r="E280" s="21">
        <f>E$33/E$6*E278*E279</f>
        <v>841804.11675889324</v>
      </c>
      <c r="F280" s="21">
        <f>F$33/F$6*F278*F279</f>
        <v>6989709.2727272734</v>
      </c>
      <c r="G280" s="37"/>
      <c r="H280" s="60"/>
      <c r="I280" s="60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83"/>
      <c r="B281" s="550"/>
      <c r="C281" s="527"/>
      <c r="D281" s="20" t="s">
        <v>44</v>
      </c>
      <c r="E281" s="21">
        <f>E280*0.18</f>
        <v>151524.74101660078</v>
      </c>
      <c r="F281" s="21">
        <f>F280*0.18</f>
        <v>1258147.6690909092</v>
      </c>
      <c r="G281" s="37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"/>
    </row>
    <row r="282" spans="1:26" ht="30" x14ac:dyDescent="0.25">
      <c r="A282" s="83"/>
      <c r="B282" s="550"/>
      <c r="C282" s="527"/>
      <c r="D282" s="20" t="s">
        <v>67</v>
      </c>
      <c r="E282" s="61" t="s">
        <v>94</v>
      </c>
      <c r="F282" s="62" t="s">
        <v>87</v>
      </c>
      <c r="G282" s="37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"/>
    </row>
    <row r="283" spans="1:26" ht="18" customHeight="1" x14ac:dyDescent="0.25">
      <c r="A283" s="83"/>
      <c r="B283" s="550"/>
      <c r="C283" s="528"/>
      <c r="D283" s="20" t="s">
        <v>89</v>
      </c>
      <c r="E283" s="23">
        <v>43235</v>
      </c>
      <c r="F283" s="23">
        <v>43235</v>
      </c>
      <c r="G283" s="37"/>
      <c r="H283" s="60"/>
      <c r="I283" s="60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8" customHeight="1" x14ac:dyDescent="0.25">
      <c r="A284" s="83"/>
      <c r="B284" s="550"/>
      <c r="C284" s="530" t="s">
        <v>48</v>
      </c>
      <c r="D284" s="20" t="s">
        <v>56</v>
      </c>
      <c r="E284" s="21"/>
      <c r="F284" s="21"/>
      <c r="G284" s="37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5">
      <c r="A285" s="83"/>
      <c r="B285" s="550"/>
      <c r="C285" s="530"/>
      <c r="D285" s="20" t="s">
        <v>57</v>
      </c>
      <c r="E285" s="21"/>
      <c r="F285" s="21"/>
      <c r="G285" s="37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5">
      <c r="A286" s="83"/>
      <c r="B286" s="550"/>
      <c r="C286" s="534" t="s">
        <v>50</v>
      </c>
      <c r="D286" s="20" t="s">
        <v>41</v>
      </c>
      <c r="E286" s="3"/>
      <c r="F286" s="3"/>
      <c r="G286" s="37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5">
      <c r="A287" s="83"/>
      <c r="B287" s="550"/>
      <c r="C287" s="534"/>
      <c r="D287" s="20" t="s">
        <v>62</v>
      </c>
      <c r="E287" s="23"/>
      <c r="F287" s="23"/>
      <c r="G287" s="37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5">
      <c r="A288" s="83"/>
      <c r="B288" s="550"/>
      <c r="C288" s="535" t="s">
        <v>58</v>
      </c>
      <c r="D288" s="20" t="s">
        <v>63</v>
      </c>
      <c r="E288" s="3"/>
      <c r="F288" s="3"/>
      <c r="G288" s="37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5">
      <c r="A289" s="83"/>
      <c r="B289" s="550"/>
      <c r="C289" s="535"/>
      <c r="D289" s="20" t="s">
        <v>59</v>
      </c>
      <c r="E289" s="23"/>
      <c r="F289" s="23"/>
      <c r="G289" s="37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x14ac:dyDescent="0.25">
      <c r="A290" s="83"/>
      <c r="B290" s="550"/>
      <c r="C290" s="52"/>
      <c r="D290" s="20" t="s">
        <v>10</v>
      </c>
      <c r="E290" s="21">
        <f>$E$33*F272</f>
        <v>349485.46363636368</v>
      </c>
      <c r="F290" s="21">
        <f>$F$33*F272</f>
        <v>3494854.6363636367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83"/>
      <c r="B291" s="550"/>
      <c r="C291" s="52"/>
      <c r="D291" s="20" t="s">
        <v>11</v>
      </c>
      <c r="E291" s="23"/>
      <c r="F291" s="2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83"/>
      <c r="B292" s="550"/>
      <c r="C292" s="52"/>
      <c r="D292" s="20" t="s">
        <v>0</v>
      </c>
      <c r="E292" s="3"/>
      <c r="F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83"/>
      <c r="B293" s="550"/>
      <c r="C293" s="52"/>
      <c r="D293" s="20" t="s">
        <v>2</v>
      </c>
      <c r="E293" s="3"/>
      <c r="F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83"/>
      <c r="B294" s="550"/>
      <c r="C294" s="52"/>
      <c r="D294" s="20" t="s">
        <v>3</v>
      </c>
      <c r="E294" s="3"/>
      <c r="F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83"/>
      <c r="B295" s="550"/>
      <c r="C295" s="52"/>
      <c r="D295" s="20" t="s">
        <v>1</v>
      </c>
      <c r="E295" s="3"/>
      <c r="F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s="32" customFormat="1" x14ac:dyDescent="0.25">
      <c r="A296" s="83"/>
      <c r="B296" s="550" t="s">
        <v>21</v>
      </c>
      <c r="C296" s="52"/>
      <c r="D296" s="29"/>
      <c r="E296" s="30">
        <v>2.5000000000000001E-2</v>
      </c>
      <c r="F296" s="30">
        <v>2.5000000000000001E-2</v>
      </c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83"/>
      <c r="B297" s="550"/>
      <c r="C297" s="529" t="s">
        <v>45</v>
      </c>
      <c r="D297" s="49" t="s">
        <v>91</v>
      </c>
      <c r="E297" s="13">
        <v>1</v>
      </c>
      <c r="F297" s="13">
        <v>1</v>
      </c>
      <c r="G297" s="37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"/>
    </row>
    <row r="298" spans="1:26" ht="31.5" customHeight="1" x14ac:dyDescent="0.25">
      <c r="A298" s="83"/>
      <c r="B298" s="550"/>
      <c r="C298" s="527"/>
      <c r="D298" s="65" t="s">
        <v>88</v>
      </c>
      <c r="E298" s="15">
        <v>0.1</v>
      </c>
      <c r="F298" s="15">
        <v>0.1</v>
      </c>
      <c r="G298" s="37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"/>
    </row>
    <row r="299" spans="1:26" x14ac:dyDescent="0.25">
      <c r="A299" s="83"/>
      <c r="B299" s="550"/>
      <c r="C299" s="527"/>
      <c r="D299" s="20" t="s">
        <v>46</v>
      </c>
      <c r="E299" s="13">
        <f>$E$33*E298</f>
        <v>698970.92727272736</v>
      </c>
      <c r="F299" s="13">
        <f>$F$33*F298</f>
        <v>6989709.2727272734</v>
      </c>
      <c r="G299" s="37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"/>
    </row>
    <row r="300" spans="1:26" s="54" customFormat="1" ht="24" customHeight="1" x14ac:dyDescent="0.25">
      <c r="A300" s="83"/>
      <c r="B300" s="550"/>
      <c r="C300" s="527"/>
      <c r="D300" s="66" t="s">
        <v>84</v>
      </c>
      <c r="E300" s="53">
        <v>30</v>
      </c>
      <c r="F300" s="53">
        <v>30</v>
      </c>
      <c r="G300" s="63"/>
      <c r="Z300" s="55"/>
    </row>
    <row r="301" spans="1:26" ht="21" customHeight="1" x14ac:dyDescent="0.25">
      <c r="A301" s="83"/>
      <c r="B301" s="550"/>
      <c r="C301" s="528"/>
      <c r="D301" s="66" t="s">
        <v>85</v>
      </c>
      <c r="E301" s="59">
        <f>$E$9+E300</f>
        <v>43217</v>
      </c>
      <c r="F301" s="59">
        <f>$E$9+F300</f>
        <v>43217</v>
      </c>
      <c r="G301" s="37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"/>
    </row>
    <row r="302" spans="1:26" ht="34.5" customHeight="1" x14ac:dyDescent="0.25">
      <c r="A302" s="83"/>
      <c r="B302" s="550"/>
      <c r="C302" s="529" t="s">
        <v>47</v>
      </c>
      <c r="D302" s="75" t="s">
        <v>93</v>
      </c>
      <c r="E302" s="76">
        <f>IF(OR(E$26&gt;E297,E$26=E297),IF(E$25&lt;E$6*0.9,E$25+0.1*E$6,IF(E$25&gt;1.1*E$6,E$25-0.1*E$6,E$6)),0)</f>
        <v>27.7</v>
      </c>
      <c r="F302" s="76">
        <f>IF(OR(F$26&gt;F297,F$26=F297),IF(F$25&lt;F$6*0.9,F$25+0.1*F$6,IF(F$25&gt;1.1*F$6,F$25-0.1*F$6,F$6)),0)</f>
        <v>230</v>
      </c>
      <c r="G302" s="68"/>
      <c r="H302" s="70"/>
      <c r="I302" s="69">
        <f t="shared" ref="I302" si="11">IF(OR(H302&gt;0,J302&gt;0),1,0)</f>
        <v>0</v>
      </c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34.5" customHeight="1" x14ac:dyDescent="0.25">
      <c r="A303" s="83"/>
      <c r="B303" s="550"/>
      <c r="C303" s="527"/>
      <c r="D303" s="75" t="s">
        <v>92</v>
      </c>
      <c r="E303" s="15">
        <v>0.1</v>
      </c>
      <c r="F303" s="15">
        <v>0.1</v>
      </c>
      <c r="G303" s="68"/>
      <c r="H303" s="73"/>
      <c r="I303" s="74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x14ac:dyDescent="0.25">
      <c r="A304" s="83"/>
      <c r="B304" s="550"/>
      <c r="C304" s="527"/>
      <c r="D304" s="20" t="s">
        <v>55</v>
      </c>
      <c r="E304" s="21">
        <f>E$33/E$6*E302*E303</f>
        <v>841804.11675889324</v>
      </c>
      <c r="F304" s="21">
        <f>F$33/F$6*F302*F303</f>
        <v>6989709.2727272734</v>
      </c>
      <c r="G304" s="37"/>
      <c r="H304" s="60"/>
      <c r="I304" s="60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83"/>
      <c r="B305" s="550"/>
      <c r="C305" s="527"/>
      <c r="D305" s="20" t="s">
        <v>44</v>
      </c>
      <c r="E305" s="21">
        <f>E304*0.18</f>
        <v>151524.74101660078</v>
      </c>
      <c r="F305" s="21">
        <f>F304*0.18</f>
        <v>1258147.6690909092</v>
      </c>
      <c r="G305" s="37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"/>
    </row>
    <row r="306" spans="1:26" ht="30" x14ac:dyDescent="0.25">
      <c r="A306" s="83"/>
      <c r="B306" s="550"/>
      <c r="C306" s="527"/>
      <c r="D306" s="20" t="s">
        <v>67</v>
      </c>
      <c r="E306" s="61" t="s">
        <v>94</v>
      </c>
      <c r="F306" s="62" t="s">
        <v>87</v>
      </c>
      <c r="G306" s="37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"/>
    </row>
    <row r="307" spans="1:26" ht="18" customHeight="1" x14ac:dyDescent="0.25">
      <c r="A307" s="83"/>
      <c r="B307" s="550"/>
      <c r="C307" s="528"/>
      <c r="D307" s="20" t="s">
        <v>89</v>
      </c>
      <c r="E307" s="23">
        <v>43235</v>
      </c>
      <c r="F307" s="23">
        <v>43235</v>
      </c>
      <c r="G307" s="37"/>
      <c r="H307" s="60"/>
      <c r="I307" s="60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8" customHeight="1" x14ac:dyDescent="0.25">
      <c r="A308" s="83"/>
      <c r="B308" s="550"/>
      <c r="C308" s="530" t="s">
        <v>48</v>
      </c>
      <c r="D308" s="20" t="s">
        <v>56</v>
      </c>
      <c r="E308" s="21"/>
      <c r="F308" s="21"/>
      <c r="G308" s="37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5">
      <c r="A309" s="83"/>
      <c r="B309" s="550"/>
      <c r="C309" s="530"/>
      <c r="D309" s="20" t="s">
        <v>57</v>
      </c>
      <c r="E309" s="21"/>
      <c r="F309" s="21"/>
      <c r="G309" s="37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5">
      <c r="A310" s="83"/>
      <c r="B310" s="550"/>
      <c r="C310" s="534" t="s">
        <v>50</v>
      </c>
      <c r="D310" s="20" t="s">
        <v>41</v>
      </c>
      <c r="E310" s="3"/>
      <c r="F310" s="3"/>
      <c r="G310" s="37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5">
      <c r="A311" s="83"/>
      <c r="B311" s="550"/>
      <c r="C311" s="534"/>
      <c r="D311" s="20" t="s">
        <v>62</v>
      </c>
      <c r="E311" s="23"/>
      <c r="F311" s="23"/>
      <c r="G311" s="37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5">
      <c r="A312" s="83"/>
      <c r="B312" s="550"/>
      <c r="C312" s="535" t="s">
        <v>58</v>
      </c>
      <c r="D312" s="20" t="s">
        <v>63</v>
      </c>
      <c r="E312" s="3"/>
      <c r="F312" s="3"/>
      <c r="G312" s="37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5">
      <c r="A313" s="83"/>
      <c r="B313" s="550"/>
      <c r="C313" s="535"/>
      <c r="D313" s="20" t="s">
        <v>59</v>
      </c>
      <c r="E313" s="23"/>
      <c r="F313" s="23"/>
      <c r="G313" s="37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x14ac:dyDescent="0.25">
      <c r="A314" s="83"/>
      <c r="B314" s="550"/>
      <c r="C314" s="52"/>
      <c r="D314" s="20" t="s">
        <v>10</v>
      </c>
      <c r="E314" s="21">
        <f>$E$33*F296</f>
        <v>174742.73181818184</v>
      </c>
      <c r="F314" s="21">
        <f>$F$33*F296</f>
        <v>1747427.3181818184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83"/>
      <c r="B315" s="550"/>
      <c r="C315" s="52"/>
      <c r="D315" s="20" t="s">
        <v>11</v>
      </c>
      <c r="E315" s="23"/>
      <c r="F315" s="23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"/>
      <c r="Z315" s="2"/>
    </row>
    <row r="316" spans="1:26" x14ac:dyDescent="0.25">
      <c r="A316" s="83"/>
      <c r="B316" s="550"/>
      <c r="C316" s="52"/>
      <c r="D316" s="20" t="s">
        <v>0</v>
      </c>
      <c r="E316" s="3"/>
      <c r="F316" s="3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"/>
      <c r="Z316" s="2"/>
    </row>
    <row r="317" spans="1:26" x14ac:dyDescent="0.25">
      <c r="A317" s="83"/>
      <c r="B317" s="550"/>
      <c r="C317" s="52"/>
      <c r="D317" s="20" t="s">
        <v>2</v>
      </c>
      <c r="E317" s="3"/>
      <c r="F317" s="3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"/>
      <c r="Z317" s="2"/>
    </row>
    <row r="318" spans="1:26" x14ac:dyDescent="0.25">
      <c r="A318" s="83"/>
      <c r="B318" s="550"/>
      <c r="C318" s="52"/>
      <c r="D318" s="20" t="s">
        <v>3</v>
      </c>
      <c r="E318" s="3"/>
      <c r="F318" s="3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"/>
      <c r="Z318" s="2"/>
    </row>
    <row r="319" spans="1:26" x14ac:dyDescent="0.25">
      <c r="A319" s="83"/>
      <c r="B319" s="550"/>
      <c r="C319" s="52"/>
      <c r="D319" s="20" t="s">
        <v>1</v>
      </c>
      <c r="E319" s="3"/>
      <c r="F319" s="3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2"/>
      <c r="Z319" s="2"/>
    </row>
    <row r="320" spans="1:26" x14ac:dyDescent="0.25">
      <c r="A320" s="83"/>
      <c r="B320" s="550" t="s">
        <v>22</v>
      </c>
      <c r="C320" s="52"/>
      <c r="D320" s="14"/>
      <c r="E320" s="27">
        <v>0.1</v>
      </c>
      <c r="F320" s="27">
        <v>0.1</v>
      </c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2"/>
      <c r="Z320" s="2"/>
    </row>
    <row r="321" spans="1:26" ht="15.75" customHeight="1" x14ac:dyDescent="0.25">
      <c r="A321" s="83"/>
      <c r="B321" s="550"/>
      <c r="C321" s="529" t="s">
        <v>45</v>
      </c>
      <c r="D321" s="49" t="s">
        <v>91</v>
      </c>
      <c r="E321" s="13">
        <v>1</v>
      </c>
      <c r="F321" s="13">
        <v>1</v>
      </c>
      <c r="G321" s="37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"/>
    </row>
    <row r="322" spans="1:26" ht="31.5" customHeight="1" x14ac:dyDescent="0.25">
      <c r="A322" s="83"/>
      <c r="B322" s="550"/>
      <c r="C322" s="527"/>
      <c r="D322" s="65" t="s">
        <v>88</v>
      </c>
      <c r="E322" s="15">
        <v>0.1</v>
      </c>
      <c r="F322" s="15">
        <v>0.1</v>
      </c>
      <c r="G322" s="37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"/>
    </row>
    <row r="323" spans="1:26" x14ac:dyDescent="0.25">
      <c r="A323" s="83"/>
      <c r="B323" s="550"/>
      <c r="C323" s="527"/>
      <c r="D323" s="20" t="s">
        <v>46</v>
      </c>
      <c r="E323" s="13">
        <f>$E$33*E322</f>
        <v>698970.92727272736</v>
      </c>
      <c r="F323" s="13">
        <f>$F$33*F322</f>
        <v>6989709.2727272734</v>
      </c>
      <c r="G323" s="37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"/>
    </row>
    <row r="324" spans="1:26" s="54" customFormat="1" ht="24" customHeight="1" x14ac:dyDescent="0.25">
      <c r="A324" s="83"/>
      <c r="B324" s="550"/>
      <c r="C324" s="527"/>
      <c r="D324" s="66" t="s">
        <v>84</v>
      </c>
      <c r="E324" s="53">
        <v>30</v>
      </c>
      <c r="F324" s="53">
        <v>30</v>
      </c>
      <c r="G324" s="63"/>
      <c r="Z324" s="55"/>
    </row>
    <row r="325" spans="1:26" ht="21" customHeight="1" x14ac:dyDescent="0.25">
      <c r="A325" s="83"/>
      <c r="B325" s="550"/>
      <c r="C325" s="528"/>
      <c r="D325" s="66" t="s">
        <v>85</v>
      </c>
      <c r="E325" s="59">
        <f>$E$9+E324</f>
        <v>43217</v>
      </c>
      <c r="F325" s="59">
        <f>$E$9+F324</f>
        <v>43217</v>
      </c>
      <c r="G325" s="37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"/>
    </row>
    <row r="326" spans="1:26" ht="34.5" customHeight="1" x14ac:dyDescent="0.25">
      <c r="A326" s="83"/>
      <c r="B326" s="550"/>
      <c r="C326" s="529" t="s">
        <v>47</v>
      </c>
      <c r="D326" s="75" t="s">
        <v>93</v>
      </c>
      <c r="E326" s="76">
        <f>IF(OR(E$26&gt;E321,E$26=E321),IF(E$25&lt;E$6*0.9,E$25+0.1*E$6,IF(E$25&gt;1.1*E$6,E$25-0.1*E$6,E$6)),0)</f>
        <v>27.7</v>
      </c>
      <c r="F326" s="76">
        <f>IF(OR(F$26&gt;F321,F$26=F321),IF(F$25&lt;F$6*0.9,F$25+0.1*F$6,IF(F$25&gt;1.1*F$6,F$25-0.1*F$6,F$6)),0)</f>
        <v>230</v>
      </c>
      <c r="G326" s="68"/>
      <c r="H326" s="70"/>
      <c r="I326" s="69">
        <f t="shared" ref="I326" si="12">IF(OR(H326&gt;0,J326&gt;0),1,0)</f>
        <v>0</v>
      </c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34.5" customHeight="1" x14ac:dyDescent="0.25">
      <c r="A327" s="83"/>
      <c r="B327" s="550"/>
      <c r="C327" s="527"/>
      <c r="D327" s="75" t="s">
        <v>92</v>
      </c>
      <c r="E327" s="15">
        <v>0.1</v>
      </c>
      <c r="F327" s="15">
        <v>0.1</v>
      </c>
      <c r="G327" s="68"/>
      <c r="H327" s="73"/>
      <c r="I327" s="74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25">
      <c r="A328" s="83"/>
      <c r="B328" s="550"/>
      <c r="C328" s="527"/>
      <c r="D328" s="20" t="s">
        <v>55</v>
      </c>
      <c r="E328" s="21">
        <f>E$33/E$6*E326*E327</f>
        <v>841804.11675889324</v>
      </c>
      <c r="F328" s="21">
        <f>F$33/F$6*F326*F327</f>
        <v>6989709.2727272734</v>
      </c>
      <c r="G328" s="37"/>
      <c r="H328" s="60"/>
      <c r="I328" s="60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83"/>
      <c r="B329" s="550"/>
      <c r="C329" s="527"/>
      <c r="D329" s="20" t="s">
        <v>44</v>
      </c>
      <c r="E329" s="21">
        <f>E328*0.18</f>
        <v>151524.74101660078</v>
      </c>
      <c r="F329" s="21">
        <f>F328*0.18</f>
        <v>1258147.6690909092</v>
      </c>
      <c r="G329" s="37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"/>
    </row>
    <row r="330" spans="1:26" ht="30" x14ac:dyDescent="0.25">
      <c r="A330" s="83"/>
      <c r="B330" s="550"/>
      <c r="C330" s="527"/>
      <c r="D330" s="20" t="s">
        <v>67</v>
      </c>
      <c r="E330" s="61" t="s">
        <v>94</v>
      </c>
      <c r="F330" s="62" t="s">
        <v>87</v>
      </c>
      <c r="G330" s="37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"/>
    </row>
    <row r="331" spans="1:26" ht="18" customHeight="1" x14ac:dyDescent="0.25">
      <c r="A331" s="83"/>
      <c r="B331" s="550"/>
      <c r="C331" s="528"/>
      <c r="D331" s="20" t="s">
        <v>89</v>
      </c>
      <c r="E331" s="23">
        <v>43235</v>
      </c>
      <c r="F331" s="23">
        <v>43235</v>
      </c>
      <c r="G331" s="37"/>
      <c r="H331" s="60"/>
      <c r="I331" s="60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8" customHeight="1" x14ac:dyDescent="0.25">
      <c r="A332" s="83"/>
      <c r="B332" s="550"/>
      <c r="C332" s="530" t="s">
        <v>48</v>
      </c>
      <c r="D332" s="20" t="s">
        <v>56</v>
      </c>
      <c r="E332" s="21"/>
      <c r="F332" s="21"/>
      <c r="G332" s="37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5">
      <c r="A333" s="83"/>
      <c r="B333" s="550"/>
      <c r="C333" s="530"/>
      <c r="D333" s="20" t="s">
        <v>57</v>
      </c>
      <c r="E333" s="21"/>
      <c r="F333" s="21"/>
      <c r="G333" s="37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5">
      <c r="A334" s="83"/>
      <c r="B334" s="550"/>
      <c r="C334" s="534" t="s">
        <v>50</v>
      </c>
      <c r="D334" s="20" t="s">
        <v>41</v>
      </c>
      <c r="E334" s="3"/>
      <c r="F334" s="3"/>
      <c r="G334" s="37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5">
      <c r="A335" s="83"/>
      <c r="B335" s="550"/>
      <c r="C335" s="534"/>
      <c r="D335" s="20" t="s">
        <v>62</v>
      </c>
      <c r="E335" s="23"/>
      <c r="F335" s="23"/>
      <c r="G335" s="37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5">
      <c r="A336" s="83"/>
      <c r="B336" s="550"/>
      <c r="C336" s="535" t="s">
        <v>58</v>
      </c>
      <c r="D336" s="20" t="s">
        <v>63</v>
      </c>
      <c r="E336" s="3"/>
      <c r="F336" s="3"/>
      <c r="G336" s="37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5">
      <c r="A337" s="83"/>
      <c r="B337" s="550"/>
      <c r="C337" s="535"/>
      <c r="D337" s="20" t="s">
        <v>59</v>
      </c>
      <c r="E337" s="23"/>
      <c r="F337" s="23"/>
      <c r="G337" s="37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x14ac:dyDescent="0.25">
      <c r="A338" s="83"/>
      <c r="B338" s="550"/>
      <c r="C338" s="52"/>
      <c r="D338" s="20" t="s">
        <v>10</v>
      </c>
      <c r="E338" s="21">
        <f>$E$33*F320</f>
        <v>698970.92727272736</v>
      </c>
      <c r="F338" s="21">
        <f>$F$33*F320</f>
        <v>6989709.2727272734</v>
      </c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2"/>
      <c r="Z338" s="2"/>
    </row>
    <row r="339" spans="1:26" x14ac:dyDescent="0.25">
      <c r="A339" s="83"/>
      <c r="B339" s="550"/>
      <c r="C339" s="52"/>
      <c r="D339" s="20" t="s">
        <v>11</v>
      </c>
      <c r="E339" s="23"/>
      <c r="F339" s="21">
        <v>6989709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83"/>
      <c r="B340" s="550"/>
      <c r="C340" s="52"/>
      <c r="D340" s="20" t="s">
        <v>0</v>
      </c>
      <c r="E340" s="3"/>
      <c r="F340" s="28">
        <v>43595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83"/>
      <c r="B341" s="550"/>
      <c r="C341" s="52"/>
      <c r="D341" s="20" t="s">
        <v>2</v>
      </c>
      <c r="E341" s="3"/>
      <c r="F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s="16" customFormat="1" x14ac:dyDescent="0.25">
      <c r="A342" s="83"/>
      <c r="B342" s="550"/>
      <c r="C342" s="52"/>
      <c r="D342" s="20" t="s">
        <v>3</v>
      </c>
      <c r="E342" s="3"/>
      <c r="F342" s="3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25">
      <c r="A343" s="83"/>
      <c r="B343" s="550"/>
      <c r="C343" s="52"/>
      <c r="D343" s="20" t="s">
        <v>1</v>
      </c>
      <c r="E343" s="3"/>
      <c r="F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83"/>
      <c r="B344" s="550" t="s">
        <v>23</v>
      </c>
      <c r="C344" s="52"/>
      <c r="D344" s="14"/>
      <c r="E344" s="27">
        <v>0.1</v>
      </c>
      <c r="F344" s="27">
        <v>0.1</v>
      </c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"/>
    </row>
    <row r="345" spans="1:26" ht="15.75" customHeight="1" x14ac:dyDescent="0.25">
      <c r="A345" s="83"/>
      <c r="B345" s="550"/>
      <c r="C345" s="529" t="s">
        <v>45</v>
      </c>
      <c r="D345" s="49" t="s">
        <v>91</v>
      </c>
      <c r="E345" s="13">
        <v>1</v>
      </c>
      <c r="F345" s="13">
        <v>1</v>
      </c>
      <c r="G345" s="37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"/>
    </row>
    <row r="346" spans="1:26" ht="31.5" customHeight="1" x14ac:dyDescent="0.25">
      <c r="A346" s="83"/>
      <c r="B346" s="550"/>
      <c r="C346" s="527"/>
      <c r="D346" s="65" t="s">
        <v>88</v>
      </c>
      <c r="E346" s="15">
        <v>0.1</v>
      </c>
      <c r="F346" s="15">
        <v>0.1</v>
      </c>
      <c r="G346" s="37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"/>
    </row>
    <row r="347" spans="1:26" x14ac:dyDescent="0.25">
      <c r="A347" s="83"/>
      <c r="B347" s="550"/>
      <c r="C347" s="527"/>
      <c r="D347" s="20" t="s">
        <v>46</v>
      </c>
      <c r="E347" s="13">
        <f>$E$33*E346</f>
        <v>698970.92727272736</v>
      </c>
      <c r="F347" s="13">
        <f>$F$33*F346</f>
        <v>6989709.2727272734</v>
      </c>
      <c r="G347" s="37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"/>
    </row>
    <row r="348" spans="1:26" s="54" customFormat="1" ht="24" customHeight="1" x14ac:dyDescent="0.25">
      <c r="A348" s="83"/>
      <c r="B348" s="550"/>
      <c r="C348" s="527"/>
      <c r="D348" s="66" t="s">
        <v>84</v>
      </c>
      <c r="E348" s="53">
        <v>30</v>
      </c>
      <c r="F348" s="53">
        <v>30</v>
      </c>
      <c r="G348" s="63"/>
      <c r="Z348" s="55"/>
    </row>
    <row r="349" spans="1:26" ht="21" customHeight="1" x14ac:dyDescent="0.25">
      <c r="A349" s="83"/>
      <c r="B349" s="550"/>
      <c r="C349" s="528"/>
      <c r="D349" s="66" t="s">
        <v>85</v>
      </c>
      <c r="E349" s="59">
        <f>$E$9+E348</f>
        <v>43217</v>
      </c>
      <c r="F349" s="59">
        <f>$E$9+F348</f>
        <v>43217</v>
      </c>
      <c r="G349" s="37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"/>
    </row>
    <row r="350" spans="1:26" ht="34.5" customHeight="1" x14ac:dyDescent="0.25">
      <c r="A350" s="83"/>
      <c r="B350" s="550"/>
      <c r="C350" s="529" t="s">
        <v>47</v>
      </c>
      <c r="D350" s="75" t="s">
        <v>93</v>
      </c>
      <c r="E350" s="76">
        <f>IF(OR(E$26&gt;E345,E$26=E345),IF(E$25&lt;E$6*0.9,E$25+0.1*E$6,IF(E$25&gt;1.1*E$6,E$25-0.1*E$6,E$6)),0)</f>
        <v>27.7</v>
      </c>
      <c r="F350" s="76">
        <f>IF(OR(F$26&gt;F345,F$26=F345),IF(F$25&lt;F$6*0.9,F$25+0.1*F$6,IF(F$25&gt;1.1*F$6,F$25-0.1*F$6,F$6)),0)</f>
        <v>230</v>
      </c>
      <c r="G350" s="68"/>
      <c r="H350" s="70"/>
      <c r="I350" s="69">
        <f t="shared" ref="I350" si="13">IF(OR(H350&gt;0,J350&gt;0),1,0)</f>
        <v>0</v>
      </c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34.5" customHeight="1" x14ac:dyDescent="0.25">
      <c r="A351" s="83"/>
      <c r="B351" s="550"/>
      <c r="C351" s="527"/>
      <c r="D351" s="75" t="s">
        <v>92</v>
      </c>
      <c r="E351" s="15">
        <v>0.1</v>
      </c>
      <c r="F351" s="15">
        <v>0.1</v>
      </c>
      <c r="G351" s="68"/>
      <c r="H351" s="73"/>
      <c r="I351" s="74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x14ac:dyDescent="0.25">
      <c r="A352" s="83"/>
      <c r="B352" s="550"/>
      <c r="C352" s="527"/>
      <c r="D352" s="20" t="s">
        <v>55</v>
      </c>
      <c r="E352" s="21">
        <f>E$33/E$6*E350*E351</f>
        <v>841804.11675889324</v>
      </c>
      <c r="F352" s="21">
        <f>F$33/F$6*F350*F351</f>
        <v>6989709.2727272734</v>
      </c>
      <c r="G352" s="37"/>
      <c r="H352" s="60"/>
      <c r="I352" s="60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83"/>
      <c r="B353" s="550"/>
      <c r="C353" s="527"/>
      <c r="D353" s="20" t="s">
        <v>44</v>
      </c>
      <c r="E353" s="21">
        <f>E352*0.18</f>
        <v>151524.74101660078</v>
      </c>
      <c r="F353" s="21">
        <f>F352*0.18</f>
        <v>1258147.6690909092</v>
      </c>
      <c r="G353" s="37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"/>
    </row>
    <row r="354" spans="1:26" ht="30" x14ac:dyDescent="0.25">
      <c r="A354" s="83"/>
      <c r="B354" s="550"/>
      <c r="C354" s="527"/>
      <c r="D354" s="20" t="s">
        <v>67</v>
      </c>
      <c r="E354" s="61" t="s">
        <v>94</v>
      </c>
      <c r="F354" s="62" t="s">
        <v>87</v>
      </c>
      <c r="G354" s="37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"/>
    </row>
    <row r="355" spans="1:26" ht="18" customHeight="1" x14ac:dyDescent="0.25">
      <c r="A355" s="83"/>
      <c r="B355" s="550"/>
      <c r="C355" s="528"/>
      <c r="D355" s="20" t="s">
        <v>89</v>
      </c>
      <c r="E355" s="23">
        <v>43235</v>
      </c>
      <c r="F355" s="23">
        <v>43235</v>
      </c>
      <c r="G355" s="37"/>
      <c r="H355" s="60"/>
      <c r="I355" s="60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8" customHeight="1" x14ac:dyDescent="0.25">
      <c r="A356" s="83"/>
      <c r="B356" s="550"/>
      <c r="C356" s="530" t="s">
        <v>48</v>
      </c>
      <c r="D356" s="20" t="s">
        <v>56</v>
      </c>
      <c r="E356" s="21"/>
      <c r="F356" s="21"/>
      <c r="G356" s="37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5">
      <c r="A357" s="83"/>
      <c r="B357" s="550"/>
      <c r="C357" s="530"/>
      <c r="D357" s="20" t="s">
        <v>57</v>
      </c>
      <c r="E357" s="21"/>
      <c r="F357" s="21"/>
      <c r="G357" s="37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5">
      <c r="A358" s="83"/>
      <c r="B358" s="550"/>
      <c r="C358" s="534" t="s">
        <v>50</v>
      </c>
      <c r="D358" s="20" t="s">
        <v>41</v>
      </c>
      <c r="E358" s="3"/>
      <c r="F358" s="3"/>
      <c r="G358" s="37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5">
      <c r="A359" s="83"/>
      <c r="B359" s="550"/>
      <c r="C359" s="534"/>
      <c r="D359" s="20" t="s">
        <v>62</v>
      </c>
      <c r="E359" s="23"/>
      <c r="F359" s="23"/>
      <c r="G359" s="37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5">
      <c r="A360" s="83"/>
      <c r="B360" s="550"/>
      <c r="C360" s="535" t="s">
        <v>58</v>
      </c>
      <c r="D360" s="20" t="s">
        <v>63</v>
      </c>
      <c r="E360" s="3"/>
      <c r="F360" s="3"/>
      <c r="G360" s="37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5">
      <c r="A361" s="83"/>
      <c r="B361" s="550"/>
      <c r="C361" s="535"/>
      <c r="D361" s="20" t="s">
        <v>59</v>
      </c>
      <c r="E361" s="23"/>
      <c r="F361" s="23"/>
      <c r="G361" s="37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x14ac:dyDescent="0.25">
      <c r="A362" s="83"/>
      <c r="B362" s="550"/>
      <c r="C362" s="52"/>
      <c r="D362" s="20" t="s">
        <v>10</v>
      </c>
      <c r="E362" s="21">
        <f>$E$33*F344</f>
        <v>698970.92727272736</v>
      </c>
      <c r="F362" s="21">
        <f>$F$33*F344</f>
        <v>6989709.2727272734</v>
      </c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2"/>
    </row>
    <row r="363" spans="1:26" x14ac:dyDescent="0.25">
      <c r="A363" s="83"/>
      <c r="B363" s="550"/>
      <c r="C363" s="52"/>
      <c r="D363" s="20" t="s">
        <v>11</v>
      </c>
      <c r="E363" s="23"/>
      <c r="F363" s="21">
        <f>6989709/2</f>
        <v>3494854.5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83"/>
      <c r="B364" s="550"/>
      <c r="C364" s="52"/>
      <c r="D364" s="20"/>
      <c r="E364" s="23"/>
      <c r="F364" s="21">
        <f>6989709/2</f>
        <v>3494854.5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83"/>
      <c r="B365" s="550"/>
      <c r="C365" s="52"/>
      <c r="D365" s="20"/>
      <c r="E365" s="23"/>
      <c r="F365" s="21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s="16" customFormat="1" x14ac:dyDescent="0.25">
      <c r="A366" s="83"/>
      <c r="B366" s="550"/>
      <c r="C366" s="52"/>
      <c r="D366" s="20"/>
      <c r="E366" s="23"/>
      <c r="F366" s="21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25">
      <c r="A367" s="83"/>
      <c r="B367" s="550"/>
      <c r="C367" s="52"/>
      <c r="D367" s="20" t="s">
        <v>0</v>
      </c>
      <c r="E367" s="3"/>
      <c r="F367" s="33">
        <v>43521</v>
      </c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83"/>
      <c r="B368" s="550"/>
      <c r="C368" s="52"/>
      <c r="D368" s="20"/>
      <c r="E368" s="3"/>
      <c r="F368" s="33">
        <v>43591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83"/>
      <c r="B369" s="550"/>
      <c r="C369" s="52"/>
      <c r="D369" s="20"/>
      <c r="E369" s="3"/>
      <c r="F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83"/>
      <c r="B370" s="550"/>
      <c r="C370" s="52"/>
      <c r="D370" s="20" t="s">
        <v>2</v>
      </c>
      <c r="E370" s="3"/>
      <c r="F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83"/>
      <c r="B371" s="550"/>
      <c r="C371" s="52"/>
      <c r="D371" s="20" t="s">
        <v>3</v>
      </c>
      <c r="E371" s="3"/>
      <c r="F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83"/>
      <c r="B372" s="550"/>
      <c r="C372" s="52"/>
      <c r="D372" s="20" t="s">
        <v>1</v>
      </c>
      <c r="E372" s="3"/>
      <c r="F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s="16" customFormat="1" x14ac:dyDescent="0.25">
      <c r="A373" s="83"/>
      <c r="B373" s="550" t="s">
        <v>24</v>
      </c>
      <c r="C373" s="52"/>
      <c r="D373" s="14"/>
      <c r="E373" s="27">
        <v>0.1</v>
      </c>
      <c r="F373" s="27">
        <v>0.1</v>
      </c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25">
      <c r="A374" s="83"/>
      <c r="B374" s="550"/>
      <c r="C374" s="529" t="s">
        <v>45</v>
      </c>
      <c r="D374" s="49" t="s">
        <v>91</v>
      </c>
      <c r="E374" s="13">
        <v>1</v>
      </c>
      <c r="F374" s="13">
        <v>1</v>
      </c>
      <c r="G374" s="37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"/>
    </row>
    <row r="375" spans="1:26" ht="31.5" customHeight="1" x14ac:dyDescent="0.25">
      <c r="A375" s="83"/>
      <c r="B375" s="550"/>
      <c r="C375" s="527"/>
      <c r="D375" s="65" t="s">
        <v>88</v>
      </c>
      <c r="E375" s="15">
        <v>0.1</v>
      </c>
      <c r="F375" s="15">
        <v>0.1</v>
      </c>
      <c r="G375" s="37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"/>
    </row>
    <row r="376" spans="1:26" x14ac:dyDescent="0.25">
      <c r="A376" s="83"/>
      <c r="B376" s="550"/>
      <c r="C376" s="527"/>
      <c r="D376" s="20" t="s">
        <v>46</v>
      </c>
      <c r="E376" s="13">
        <f>$E$33*E375</f>
        <v>698970.92727272736</v>
      </c>
      <c r="F376" s="13">
        <f>$F$33*F375</f>
        <v>6989709.2727272734</v>
      </c>
      <c r="G376" s="37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"/>
    </row>
    <row r="377" spans="1:26" s="54" customFormat="1" ht="24" customHeight="1" x14ac:dyDescent="0.25">
      <c r="A377" s="83"/>
      <c r="B377" s="550"/>
      <c r="C377" s="527"/>
      <c r="D377" s="66" t="s">
        <v>84</v>
      </c>
      <c r="E377" s="53">
        <v>30</v>
      </c>
      <c r="F377" s="53">
        <v>30</v>
      </c>
      <c r="G377" s="63"/>
      <c r="Z377" s="55"/>
    </row>
    <row r="378" spans="1:26" ht="21" customHeight="1" x14ac:dyDescent="0.25">
      <c r="A378" s="83"/>
      <c r="B378" s="550"/>
      <c r="C378" s="528"/>
      <c r="D378" s="66" t="s">
        <v>85</v>
      </c>
      <c r="E378" s="59">
        <f>$E$9+E377</f>
        <v>43217</v>
      </c>
      <c r="F378" s="59">
        <f>$E$9+F377</f>
        <v>43217</v>
      </c>
      <c r="G378" s="37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"/>
    </row>
    <row r="379" spans="1:26" ht="34.5" customHeight="1" x14ac:dyDescent="0.25">
      <c r="A379" s="83"/>
      <c r="B379" s="550"/>
      <c r="C379" s="529" t="s">
        <v>47</v>
      </c>
      <c r="D379" s="75" t="s">
        <v>93</v>
      </c>
      <c r="E379" s="76">
        <f>IF(OR(E$26&gt;E374,E$26=E374),IF(E$25&lt;E$6*0.9,E$25+0.1*E$6,IF(E$25&gt;1.1*E$6,E$25-0.1*E$6,E$6)),0)</f>
        <v>27.7</v>
      </c>
      <c r="F379" s="76">
        <f>IF(OR(F$26&gt;F374,F$26=F374),IF(F$25&lt;F$6*0.9,F$25+0.1*F$6,IF(F$25&gt;1.1*F$6,F$25-0.1*F$6,F$6)),0)</f>
        <v>230</v>
      </c>
      <c r="G379" s="68"/>
      <c r="H379" s="70"/>
      <c r="I379" s="69">
        <f t="shared" ref="I379" si="14">IF(OR(H379&gt;0,J379&gt;0),1,0)</f>
        <v>0</v>
      </c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34.5" customHeight="1" x14ac:dyDescent="0.25">
      <c r="A380" s="83"/>
      <c r="B380" s="550"/>
      <c r="C380" s="527"/>
      <c r="D380" s="75" t="s">
        <v>92</v>
      </c>
      <c r="E380" s="15">
        <v>0.1</v>
      </c>
      <c r="F380" s="15">
        <v>0.1</v>
      </c>
      <c r="G380" s="68"/>
      <c r="H380" s="73"/>
      <c r="I380" s="74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x14ac:dyDescent="0.25">
      <c r="A381" s="83"/>
      <c r="B381" s="550"/>
      <c r="C381" s="527"/>
      <c r="D381" s="20" t="s">
        <v>55</v>
      </c>
      <c r="E381" s="21">
        <f>E$33/E$6*E379*E380</f>
        <v>841804.11675889324</v>
      </c>
      <c r="F381" s="21">
        <f>F$33/F$6*F379*F380</f>
        <v>6989709.2727272734</v>
      </c>
      <c r="G381" s="37"/>
      <c r="H381" s="60"/>
      <c r="I381" s="60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83"/>
      <c r="B382" s="550"/>
      <c r="C382" s="527"/>
      <c r="D382" s="20" t="s">
        <v>44</v>
      </c>
      <c r="E382" s="21">
        <f>E381*0.18</f>
        <v>151524.74101660078</v>
      </c>
      <c r="F382" s="21">
        <f>F381*0.18</f>
        <v>1258147.6690909092</v>
      </c>
      <c r="G382" s="37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"/>
    </row>
    <row r="383" spans="1:26" ht="30" x14ac:dyDescent="0.25">
      <c r="A383" s="83"/>
      <c r="B383" s="550"/>
      <c r="C383" s="527"/>
      <c r="D383" s="20" t="s">
        <v>67</v>
      </c>
      <c r="E383" s="61" t="s">
        <v>94</v>
      </c>
      <c r="F383" s="62" t="s">
        <v>87</v>
      </c>
      <c r="G383" s="37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"/>
    </row>
    <row r="384" spans="1:26" ht="18" customHeight="1" x14ac:dyDescent="0.25">
      <c r="A384" s="83"/>
      <c r="B384" s="550"/>
      <c r="C384" s="528"/>
      <c r="D384" s="20" t="s">
        <v>89</v>
      </c>
      <c r="E384" s="23">
        <v>43235</v>
      </c>
      <c r="F384" s="23">
        <v>43235</v>
      </c>
      <c r="G384" s="37"/>
      <c r="H384" s="60"/>
      <c r="I384" s="60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8" customHeight="1" x14ac:dyDescent="0.25">
      <c r="A385" s="83"/>
      <c r="B385" s="550"/>
      <c r="C385" s="530" t="s">
        <v>48</v>
      </c>
      <c r="D385" s="20" t="s">
        <v>56</v>
      </c>
      <c r="E385" s="21"/>
      <c r="F385" s="21"/>
      <c r="G385" s="37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5">
      <c r="A386" s="83"/>
      <c r="B386" s="550"/>
      <c r="C386" s="530"/>
      <c r="D386" s="20" t="s">
        <v>57</v>
      </c>
      <c r="E386" s="21"/>
      <c r="F386" s="21"/>
      <c r="G386" s="37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5">
      <c r="A387" s="83"/>
      <c r="B387" s="550"/>
      <c r="C387" s="534" t="s">
        <v>50</v>
      </c>
      <c r="D387" s="20" t="s">
        <v>41</v>
      </c>
      <c r="E387" s="3"/>
      <c r="F387" s="3"/>
      <c r="G387" s="37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5">
      <c r="A388" s="83"/>
      <c r="B388" s="550"/>
      <c r="C388" s="534"/>
      <c r="D388" s="20" t="s">
        <v>62</v>
      </c>
      <c r="E388" s="23"/>
      <c r="F388" s="23"/>
      <c r="G388" s="37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5">
      <c r="A389" s="83"/>
      <c r="B389" s="550"/>
      <c r="C389" s="535" t="s">
        <v>58</v>
      </c>
      <c r="D389" s="20" t="s">
        <v>63</v>
      </c>
      <c r="E389" s="3"/>
      <c r="F389" s="3"/>
      <c r="G389" s="37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5">
      <c r="A390" s="83"/>
      <c r="B390" s="550"/>
      <c r="C390" s="535"/>
      <c r="D390" s="20" t="s">
        <v>59</v>
      </c>
      <c r="E390" s="23"/>
      <c r="F390" s="23"/>
      <c r="G390" s="37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x14ac:dyDescent="0.25">
      <c r="A391" s="83"/>
      <c r="B391" s="550"/>
      <c r="C391" s="52"/>
      <c r="D391" s="20" t="s">
        <v>10</v>
      </c>
      <c r="E391" s="21">
        <f>$E$33*F373</f>
        <v>698970.92727272736</v>
      </c>
      <c r="F391" s="21">
        <f>$F$33*F373</f>
        <v>6989709.2727272734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83"/>
      <c r="B392" s="550"/>
      <c r="C392" s="52"/>
      <c r="D392" s="20" t="s">
        <v>11</v>
      </c>
      <c r="E392" s="21"/>
      <c r="F392" s="21">
        <f>6989709</f>
        <v>6989709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83"/>
      <c r="B393" s="550"/>
      <c r="C393" s="52"/>
      <c r="D393" s="20" t="s">
        <v>0</v>
      </c>
      <c r="E393" s="28"/>
      <c r="F393" s="28">
        <v>43584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83"/>
      <c r="B394" s="550"/>
      <c r="C394" s="52"/>
      <c r="D394" s="20" t="s">
        <v>2</v>
      </c>
      <c r="E394" s="3"/>
      <c r="F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83"/>
      <c r="B395" s="550"/>
      <c r="C395" s="52"/>
      <c r="D395" s="20" t="s">
        <v>3</v>
      </c>
      <c r="E395" s="3"/>
      <c r="F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83"/>
      <c r="B396" s="550"/>
      <c r="C396" s="52"/>
      <c r="D396" s="20" t="s">
        <v>1</v>
      </c>
      <c r="E396" s="3"/>
      <c r="F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83"/>
      <c r="B397" s="550" t="s">
        <v>25</v>
      </c>
      <c r="C397" s="52"/>
      <c r="D397" s="14"/>
      <c r="E397" s="27">
        <v>0.05</v>
      </c>
      <c r="F397" s="27">
        <v>0.05</v>
      </c>
    </row>
    <row r="398" spans="1:26" ht="15.75" customHeight="1" x14ac:dyDescent="0.25">
      <c r="A398" s="83"/>
      <c r="B398" s="550"/>
      <c r="C398" s="529" t="s">
        <v>45</v>
      </c>
      <c r="D398" s="49" t="s">
        <v>91</v>
      </c>
      <c r="E398" s="13">
        <v>1</v>
      </c>
      <c r="F398" s="13">
        <v>1</v>
      </c>
      <c r="G398" s="37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"/>
    </row>
    <row r="399" spans="1:26" ht="31.5" customHeight="1" x14ac:dyDescent="0.25">
      <c r="A399" s="83"/>
      <c r="B399" s="550"/>
      <c r="C399" s="527"/>
      <c r="D399" s="65" t="s">
        <v>88</v>
      </c>
      <c r="E399" s="15">
        <v>0.1</v>
      </c>
      <c r="F399" s="15">
        <v>0.1</v>
      </c>
      <c r="G399" s="37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"/>
    </row>
    <row r="400" spans="1:26" x14ac:dyDescent="0.25">
      <c r="A400" s="83"/>
      <c r="B400" s="550"/>
      <c r="C400" s="527"/>
      <c r="D400" s="20" t="s">
        <v>46</v>
      </c>
      <c r="E400" s="13">
        <f>$E$33*E399</f>
        <v>698970.92727272736</v>
      </c>
      <c r="F400" s="13">
        <f>$F$33*F399</f>
        <v>6989709.2727272734</v>
      </c>
      <c r="G400" s="37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"/>
    </row>
    <row r="401" spans="1:26" s="54" customFormat="1" ht="24" customHeight="1" x14ac:dyDescent="0.25">
      <c r="A401" s="83"/>
      <c r="B401" s="550"/>
      <c r="C401" s="527"/>
      <c r="D401" s="66" t="s">
        <v>84</v>
      </c>
      <c r="E401" s="53">
        <v>30</v>
      </c>
      <c r="F401" s="53">
        <v>30</v>
      </c>
      <c r="G401" s="63"/>
      <c r="Z401" s="55"/>
    </row>
    <row r="402" spans="1:26" ht="21" customHeight="1" x14ac:dyDescent="0.25">
      <c r="A402" s="83"/>
      <c r="B402" s="550"/>
      <c r="C402" s="528"/>
      <c r="D402" s="66" t="s">
        <v>85</v>
      </c>
      <c r="E402" s="59">
        <f>$E$9+E401</f>
        <v>43217</v>
      </c>
      <c r="F402" s="59">
        <f>$E$9+F401</f>
        <v>43217</v>
      </c>
      <c r="G402" s="37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"/>
    </row>
    <row r="403" spans="1:26" ht="34.5" customHeight="1" x14ac:dyDescent="0.25">
      <c r="A403" s="83"/>
      <c r="B403" s="550"/>
      <c r="C403" s="529" t="s">
        <v>47</v>
      </c>
      <c r="D403" s="75" t="s">
        <v>93</v>
      </c>
      <c r="E403" s="76">
        <f>IF(OR(E$26&gt;E398,E$26=E398),IF(E$25&lt;E$6*0.9,E$25+0.1*E$6,IF(E$25&gt;1.1*E$6,E$25-0.1*E$6,E$6)),0)</f>
        <v>27.7</v>
      </c>
      <c r="F403" s="76">
        <f>IF(OR(F$26&gt;F398,F$26=F398),IF(F$25&lt;F$6*0.9,F$25+0.1*F$6,IF(F$25&gt;1.1*F$6,F$25-0.1*F$6,F$6)),0)</f>
        <v>230</v>
      </c>
      <c r="G403" s="68"/>
      <c r="H403" s="70"/>
      <c r="I403" s="69">
        <f t="shared" ref="I403" si="15">IF(OR(H403&gt;0,J403&gt;0),1,0)</f>
        <v>0</v>
      </c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34.5" customHeight="1" x14ac:dyDescent="0.25">
      <c r="A404" s="83"/>
      <c r="B404" s="550"/>
      <c r="C404" s="527"/>
      <c r="D404" s="75" t="s">
        <v>92</v>
      </c>
      <c r="E404" s="15">
        <v>0.1</v>
      </c>
      <c r="F404" s="15">
        <v>0.1</v>
      </c>
      <c r="G404" s="68"/>
      <c r="H404" s="73"/>
      <c r="I404" s="74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x14ac:dyDescent="0.25">
      <c r="A405" s="83"/>
      <c r="B405" s="550"/>
      <c r="C405" s="527"/>
      <c r="D405" s="20" t="s">
        <v>55</v>
      </c>
      <c r="E405" s="21">
        <f>E$33/E$6*E403*E404</f>
        <v>841804.11675889324</v>
      </c>
      <c r="F405" s="21">
        <f>F$33/F$6*F403*F404</f>
        <v>6989709.2727272734</v>
      </c>
      <c r="G405" s="37"/>
      <c r="H405" s="60"/>
      <c r="I405" s="60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83"/>
      <c r="B406" s="550"/>
      <c r="C406" s="527"/>
      <c r="D406" s="20" t="s">
        <v>44</v>
      </c>
      <c r="E406" s="21">
        <f>E405*0.18</f>
        <v>151524.74101660078</v>
      </c>
      <c r="F406" s="21">
        <f>F405*0.18</f>
        <v>1258147.6690909092</v>
      </c>
      <c r="G406" s="37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"/>
    </row>
    <row r="407" spans="1:26" ht="30" x14ac:dyDescent="0.25">
      <c r="A407" s="83"/>
      <c r="B407" s="550"/>
      <c r="C407" s="527"/>
      <c r="D407" s="20" t="s">
        <v>67</v>
      </c>
      <c r="E407" s="61" t="s">
        <v>94</v>
      </c>
      <c r="F407" s="62" t="s">
        <v>87</v>
      </c>
      <c r="G407" s="37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"/>
    </row>
    <row r="408" spans="1:26" ht="18" customHeight="1" x14ac:dyDescent="0.25">
      <c r="A408" s="83"/>
      <c r="B408" s="550"/>
      <c r="C408" s="528"/>
      <c r="D408" s="20" t="s">
        <v>89</v>
      </c>
      <c r="E408" s="23">
        <v>43235</v>
      </c>
      <c r="F408" s="23">
        <v>43235</v>
      </c>
      <c r="G408" s="37"/>
      <c r="H408" s="60"/>
      <c r="I408" s="60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8" customHeight="1" x14ac:dyDescent="0.25">
      <c r="A409" s="83"/>
      <c r="B409" s="550"/>
      <c r="C409" s="530" t="s">
        <v>48</v>
      </c>
      <c r="D409" s="20" t="s">
        <v>56</v>
      </c>
      <c r="E409" s="21"/>
      <c r="F409" s="21"/>
      <c r="G409" s="37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5">
      <c r="A410" s="83"/>
      <c r="B410" s="550"/>
      <c r="C410" s="530"/>
      <c r="D410" s="20" t="s">
        <v>57</v>
      </c>
      <c r="E410" s="21"/>
      <c r="F410" s="21"/>
      <c r="G410" s="37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5">
      <c r="A411" s="83"/>
      <c r="B411" s="550"/>
      <c r="C411" s="534" t="s">
        <v>50</v>
      </c>
      <c r="D411" s="20" t="s">
        <v>41</v>
      </c>
      <c r="E411" s="3"/>
      <c r="F411" s="3"/>
      <c r="G411" s="37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5">
      <c r="A412" s="83"/>
      <c r="B412" s="550"/>
      <c r="C412" s="534"/>
      <c r="D412" s="20" t="s">
        <v>62</v>
      </c>
      <c r="E412" s="23"/>
      <c r="F412" s="23"/>
      <c r="G412" s="37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5">
      <c r="A413" s="83"/>
      <c r="B413" s="550"/>
      <c r="C413" s="535" t="s">
        <v>58</v>
      </c>
      <c r="D413" s="20" t="s">
        <v>63</v>
      </c>
      <c r="E413" s="3"/>
      <c r="F413" s="3"/>
      <c r="G413" s="37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5">
      <c r="A414" s="83"/>
      <c r="B414" s="550"/>
      <c r="C414" s="535"/>
      <c r="D414" s="20" t="s">
        <v>59</v>
      </c>
      <c r="E414" s="23"/>
      <c r="F414" s="23"/>
      <c r="G414" s="37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x14ac:dyDescent="0.25">
      <c r="A415" s="83"/>
      <c r="B415" s="550"/>
      <c r="C415" s="52"/>
      <c r="D415" s="20" t="s">
        <v>10</v>
      </c>
      <c r="E415" s="21">
        <f>$E$33*F397</f>
        <v>349485.46363636368</v>
      </c>
      <c r="F415" s="21">
        <f>$F$33*F397</f>
        <v>3494854.6363636367</v>
      </c>
    </row>
    <row r="416" spans="1:26" x14ac:dyDescent="0.25">
      <c r="A416" s="83"/>
      <c r="B416" s="550"/>
      <c r="C416" s="52"/>
      <c r="D416" s="20" t="s">
        <v>11</v>
      </c>
      <c r="E416" s="21"/>
      <c r="F416" s="21"/>
    </row>
    <row r="417" spans="1:26" x14ac:dyDescent="0.25">
      <c r="A417" s="83"/>
      <c r="B417" s="550"/>
      <c r="C417" s="52"/>
      <c r="D417" s="20" t="s">
        <v>0</v>
      </c>
      <c r="E417" s="28"/>
      <c r="F417" s="28"/>
    </row>
    <row r="418" spans="1:26" x14ac:dyDescent="0.25">
      <c r="A418" s="83"/>
      <c r="B418" s="550"/>
      <c r="C418" s="52"/>
      <c r="D418" s="20" t="s">
        <v>2</v>
      </c>
      <c r="E418" s="3"/>
      <c r="F418" s="3"/>
    </row>
    <row r="419" spans="1:26" x14ac:dyDescent="0.25">
      <c r="A419" s="83"/>
      <c r="B419" s="550"/>
      <c r="C419" s="52"/>
      <c r="D419" s="20" t="s">
        <v>3</v>
      </c>
      <c r="E419" s="3"/>
      <c r="F419" s="3"/>
    </row>
    <row r="420" spans="1:26" x14ac:dyDescent="0.25">
      <c r="A420" s="83"/>
      <c r="B420" s="550"/>
      <c r="C420" s="52"/>
      <c r="D420" s="20" t="s">
        <v>1</v>
      </c>
      <c r="E420" s="3"/>
      <c r="F420" s="3"/>
    </row>
    <row r="421" spans="1:26" x14ac:dyDescent="0.25">
      <c r="A421" s="83"/>
      <c r="B421" s="550" t="s">
        <v>26</v>
      </c>
      <c r="C421" s="52"/>
      <c r="D421" s="14"/>
      <c r="E421" s="27">
        <v>0.01</v>
      </c>
      <c r="F421" s="27">
        <v>0.01</v>
      </c>
    </row>
    <row r="422" spans="1:26" ht="15.75" customHeight="1" x14ac:dyDescent="0.25">
      <c r="A422" s="83"/>
      <c r="B422" s="550"/>
      <c r="C422" s="529" t="s">
        <v>45</v>
      </c>
      <c r="D422" s="49" t="s">
        <v>91</v>
      </c>
      <c r="E422" s="13">
        <v>1</v>
      </c>
      <c r="F422" s="13">
        <v>1</v>
      </c>
      <c r="G422" s="37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"/>
    </row>
    <row r="423" spans="1:26" ht="31.5" customHeight="1" x14ac:dyDescent="0.25">
      <c r="A423" s="83"/>
      <c r="B423" s="550"/>
      <c r="C423" s="527"/>
      <c r="D423" s="65" t="s">
        <v>88</v>
      </c>
      <c r="E423" s="15">
        <v>0.1</v>
      </c>
      <c r="F423" s="15">
        <v>0.1</v>
      </c>
      <c r="G423" s="37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"/>
    </row>
    <row r="424" spans="1:26" x14ac:dyDescent="0.25">
      <c r="A424" s="83"/>
      <c r="B424" s="550"/>
      <c r="C424" s="527"/>
      <c r="D424" s="20" t="s">
        <v>46</v>
      </c>
      <c r="E424" s="13">
        <f>$E$33*E423</f>
        <v>698970.92727272736</v>
      </c>
      <c r="F424" s="13">
        <f>$F$33*F423</f>
        <v>6989709.2727272734</v>
      </c>
      <c r="G424" s="37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"/>
    </row>
    <row r="425" spans="1:26" s="54" customFormat="1" ht="24" customHeight="1" x14ac:dyDescent="0.25">
      <c r="A425" s="83"/>
      <c r="B425" s="550"/>
      <c r="C425" s="527"/>
      <c r="D425" s="66" t="s">
        <v>84</v>
      </c>
      <c r="E425" s="53">
        <v>30</v>
      </c>
      <c r="F425" s="53">
        <v>30</v>
      </c>
      <c r="G425" s="63"/>
      <c r="Z425" s="55"/>
    </row>
    <row r="426" spans="1:26" ht="21" customHeight="1" x14ac:dyDescent="0.25">
      <c r="A426" s="83"/>
      <c r="B426" s="550"/>
      <c r="C426" s="528"/>
      <c r="D426" s="66" t="s">
        <v>85</v>
      </c>
      <c r="E426" s="59">
        <f>$E$9+E425</f>
        <v>43217</v>
      </c>
      <c r="F426" s="59">
        <f>$E$9+F425</f>
        <v>43217</v>
      </c>
      <c r="G426" s="37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"/>
    </row>
    <row r="427" spans="1:26" ht="34.5" customHeight="1" x14ac:dyDescent="0.25">
      <c r="A427" s="83"/>
      <c r="B427" s="550"/>
      <c r="C427" s="529" t="s">
        <v>47</v>
      </c>
      <c r="D427" s="75" t="s">
        <v>93</v>
      </c>
      <c r="E427" s="76">
        <f>IF(OR(E$26&gt;E422,E$26=E422),IF(E$25&lt;E$6*0.9,E$25+0.1*E$6,IF(E$25&gt;1.1*E$6,E$25-0.1*E$6,E$6)),0)</f>
        <v>27.7</v>
      </c>
      <c r="F427" s="76">
        <f>IF(OR(F$26&gt;F422,F$26=F422),IF(F$25&lt;F$6*0.9,F$25+0.1*F$6,IF(F$25&gt;1.1*F$6,F$25-0.1*F$6,F$6)),0)</f>
        <v>230</v>
      </c>
      <c r="G427" s="68"/>
      <c r="H427" s="70"/>
      <c r="I427" s="69">
        <f t="shared" ref="I427" si="16">IF(OR(H427&gt;0,J427&gt;0),1,0)</f>
        <v>0</v>
      </c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34.5" customHeight="1" x14ac:dyDescent="0.25">
      <c r="A428" s="83"/>
      <c r="B428" s="550"/>
      <c r="C428" s="527"/>
      <c r="D428" s="75" t="s">
        <v>92</v>
      </c>
      <c r="E428" s="15">
        <v>0.1</v>
      </c>
      <c r="F428" s="15">
        <v>0.1</v>
      </c>
      <c r="G428" s="68"/>
      <c r="H428" s="73"/>
      <c r="I428" s="74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x14ac:dyDescent="0.25">
      <c r="A429" s="83"/>
      <c r="B429" s="550"/>
      <c r="C429" s="527"/>
      <c r="D429" s="20" t="s">
        <v>55</v>
      </c>
      <c r="E429" s="21">
        <f>E$33/E$6*E427*E428</f>
        <v>841804.11675889324</v>
      </c>
      <c r="F429" s="21">
        <f>F$33/F$6*F427*F428</f>
        <v>6989709.2727272734</v>
      </c>
      <c r="G429" s="37"/>
      <c r="H429" s="60"/>
      <c r="I429" s="60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83"/>
      <c r="B430" s="550"/>
      <c r="C430" s="527"/>
      <c r="D430" s="20" t="s">
        <v>44</v>
      </c>
      <c r="E430" s="21">
        <f>E429*0.18</f>
        <v>151524.74101660078</v>
      </c>
      <c r="F430" s="21">
        <f>F429*0.18</f>
        <v>1258147.6690909092</v>
      </c>
      <c r="G430" s="37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"/>
    </row>
    <row r="431" spans="1:26" ht="30" x14ac:dyDescent="0.25">
      <c r="A431" s="83"/>
      <c r="B431" s="550"/>
      <c r="C431" s="527"/>
      <c r="D431" s="20" t="s">
        <v>67</v>
      </c>
      <c r="E431" s="61" t="s">
        <v>94</v>
      </c>
      <c r="F431" s="62" t="s">
        <v>87</v>
      </c>
      <c r="G431" s="37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"/>
    </row>
    <row r="432" spans="1:26" ht="18" customHeight="1" x14ac:dyDescent="0.25">
      <c r="A432" s="83"/>
      <c r="B432" s="550"/>
      <c r="C432" s="528"/>
      <c r="D432" s="20" t="s">
        <v>89</v>
      </c>
      <c r="E432" s="23">
        <v>43235</v>
      </c>
      <c r="F432" s="23">
        <v>43235</v>
      </c>
      <c r="G432" s="37"/>
      <c r="H432" s="60"/>
      <c r="I432" s="60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8" customHeight="1" x14ac:dyDescent="0.25">
      <c r="A433" s="83"/>
      <c r="B433" s="550"/>
      <c r="C433" s="530" t="s">
        <v>48</v>
      </c>
      <c r="D433" s="20" t="s">
        <v>56</v>
      </c>
      <c r="E433" s="21"/>
      <c r="F433" s="21"/>
      <c r="G433" s="37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5">
      <c r="A434" s="83"/>
      <c r="B434" s="550"/>
      <c r="C434" s="530"/>
      <c r="D434" s="20" t="s">
        <v>57</v>
      </c>
      <c r="E434" s="21"/>
      <c r="F434" s="21"/>
      <c r="G434" s="37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5">
      <c r="A435" s="83"/>
      <c r="B435" s="550"/>
      <c r="C435" s="534" t="s">
        <v>50</v>
      </c>
      <c r="D435" s="20" t="s">
        <v>41</v>
      </c>
      <c r="E435" s="3"/>
      <c r="F435" s="3"/>
      <c r="G435" s="37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5">
      <c r="A436" s="83"/>
      <c r="B436" s="550"/>
      <c r="C436" s="534"/>
      <c r="D436" s="20" t="s">
        <v>62</v>
      </c>
      <c r="E436" s="23"/>
      <c r="F436" s="23"/>
      <c r="G436" s="37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5">
      <c r="A437" s="83"/>
      <c r="B437" s="550"/>
      <c r="C437" s="535" t="s">
        <v>58</v>
      </c>
      <c r="D437" s="20" t="s">
        <v>63</v>
      </c>
      <c r="E437" s="3"/>
      <c r="F437" s="3"/>
      <c r="G437" s="37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5">
      <c r="A438" s="83"/>
      <c r="B438" s="550"/>
      <c r="C438" s="535"/>
      <c r="D438" s="20" t="s">
        <v>59</v>
      </c>
      <c r="E438" s="23"/>
      <c r="F438" s="23"/>
      <c r="G438" s="37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x14ac:dyDescent="0.25">
      <c r="A439" s="83"/>
      <c r="B439" s="550"/>
      <c r="C439" s="52"/>
      <c r="D439" s="20" t="s">
        <v>10</v>
      </c>
      <c r="E439" s="21">
        <f>$E$33*F421</f>
        <v>69897.092727272742</v>
      </c>
      <c r="F439" s="21">
        <f>$F$33*F421</f>
        <v>698970.92727272736</v>
      </c>
    </row>
    <row r="440" spans="1:26" x14ac:dyDescent="0.25">
      <c r="A440" s="83"/>
      <c r="B440" s="550"/>
      <c r="C440" s="52"/>
      <c r="D440" s="20" t="s">
        <v>11</v>
      </c>
      <c r="E440" s="23"/>
      <c r="F440" s="21">
        <f>F439</f>
        <v>698970.92727272736</v>
      </c>
    </row>
    <row r="441" spans="1:26" x14ac:dyDescent="0.25">
      <c r="A441" s="83"/>
      <c r="B441" s="550"/>
      <c r="C441" s="52"/>
      <c r="D441" s="20" t="s">
        <v>0</v>
      </c>
      <c r="E441" s="3"/>
      <c r="F441" s="28">
        <v>43270</v>
      </c>
    </row>
    <row r="442" spans="1:26" x14ac:dyDescent="0.25">
      <c r="A442" s="83"/>
      <c r="B442" s="550"/>
      <c r="C442" s="52"/>
      <c r="D442" s="20" t="s">
        <v>2</v>
      </c>
      <c r="E442" s="3"/>
      <c r="F442" s="3"/>
    </row>
    <row r="443" spans="1:26" x14ac:dyDescent="0.25">
      <c r="A443" s="83"/>
      <c r="B443" s="550"/>
      <c r="C443" s="52"/>
      <c r="D443" s="20" t="s">
        <v>3</v>
      </c>
      <c r="E443" s="3"/>
      <c r="F443" s="3"/>
    </row>
    <row r="444" spans="1:26" x14ac:dyDescent="0.25">
      <c r="B444" s="550"/>
      <c r="C444" s="52"/>
      <c r="D444" s="20" t="s">
        <v>1</v>
      </c>
      <c r="E444" s="3"/>
      <c r="F444" s="3"/>
    </row>
  </sheetData>
  <mergeCells count="160">
    <mergeCell ref="B112:B128"/>
    <mergeCell ref="C422:C426"/>
    <mergeCell ref="C427:C432"/>
    <mergeCell ref="C433:C434"/>
    <mergeCell ref="C435:C436"/>
    <mergeCell ref="C437:C438"/>
    <mergeCell ref="C398:C402"/>
    <mergeCell ref="C403:C408"/>
    <mergeCell ref="C409:C410"/>
    <mergeCell ref="C411:C412"/>
    <mergeCell ref="C413:C414"/>
    <mergeCell ref="C374:C378"/>
    <mergeCell ref="C379:C384"/>
    <mergeCell ref="C385:C386"/>
    <mergeCell ref="C387:C388"/>
    <mergeCell ref="C389:C390"/>
    <mergeCell ref="C345:C349"/>
    <mergeCell ref="C350:C355"/>
    <mergeCell ref="C356:C357"/>
    <mergeCell ref="C358:C359"/>
    <mergeCell ref="C360:C361"/>
    <mergeCell ref="C321:C325"/>
    <mergeCell ref="C326:C331"/>
    <mergeCell ref="C332:C333"/>
    <mergeCell ref="C334:C335"/>
    <mergeCell ref="C336:C337"/>
    <mergeCell ref="C297:C301"/>
    <mergeCell ref="C302:C307"/>
    <mergeCell ref="C308:C309"/>
    <mergeCell ref="C310:C311"/>
    <mergeCell ref="C312:C313"/>
    <mergeCell ref="C273:C277"/>
    <mergeCell ref="C278:C283"/>
    <mergeCell ref="C284:C285"/>
    <mergeCell ref="C286:C287"/>
    <mergeCell ref="C288:C289"/>
    <mergeCell ref="C249:C253"/>
    <mergeCell ref="C254:C259"/>
    <mergeCell ref="C260:C261"/>
    <mergeCell ref="C262:C263"/>
    <mergeCell ref="C264:C265"/>
    <mergeCell ref="C225:C229"/>
    <mergeCell ref="C230:C235"/>
    <mergeCell ref="C236:C237"/>
    <mergeCell ref="C238:C239"/>
    <mergeCell ref="C240:C241"/>
    <mergeCell ref="C201:C205"/>
    <mergeCell ref="C206:C211"/>
    <mergeCell ref="C212:C213"/>
    <mergeCell ref="C214:C215"/>
    <mergeCell ref="C216:C217"/>
    <mergeCell ref="C177:C181"/>
    <mergeCell ref="C182:C187"/>
    <mergeCell ref="C188:C189"/>
    <mergeCell ref="C190:C191"/>
    <mergeCell ref="C192:C193"/>
    <mergeCell ref="C153:C157"/>
    <mergeCell ref="C158:C163"/>
    <mergeCell ref="C164:C165"/>
    <mergeCell ref="C166:C167"/>
    <mergeCell ref="C168:C169"/>
    <mergeCell ref="C129:C133"/>
    <mergeCell ref="C134:C139"/>
    <mergeCell ref="C140:C141"/>
    <mergeCell ref="C142:C143"/>
    <mergeCell ref="C144:C145"/>
    <mergeCell ref="C112:C116"/>
    <mergeCell ref="C117:C122"/>
    <mergeCell ref="C123:C124"/>
    <mergeCell ref="C125:C126"/>
    <mergeCell ref="C127:C128"/>
    <mergeCell ref="C85:C89"/>
    <mergeCell ref="C90:C95"/>
    <mergeCell ref="C96:C97"/>
    <mergeCell ref="C102:C103"/>
    <mergeCell ref="C110:C111"/>
    <mergeCell ref="C98:C101"/>
    <mergeCell ref="C104:C105"/>
    <mergeCell ref="C106:C109"/>
    <mergeCell ref="B24:D24"/>
    <mergeCell ref="B25:D25"/>
    <mergeCell ref="B26:D26"/>
    <mergeCell ref="B27:D27"/>
    <mergeCell ref="B28:D28"/>
    <mergeCell ref="A1:H1"/>
    <mergeCell ref="B21:D21"/>
    <mergeCell ref="B3:D3"/>
    <mergeCell ref="B5:D5"/>
    <mergeCell ref="B6:D6"/>
    <mergeCell ref="B7:D7"/>
    <mergeCell ref="E11:F11"/>
    <mergeCell ref="E12:F12"/>
    <mergeCell ref="B14:D14"/>
    <mergeCell ref="B15:D15"/>
    <mergeCell ref="B13:D13"/>
    <mergeCell ref="B4:D4"/>
    <mergeCell ref="E9:F9"/>
    <mergeCell ref="B9:D9"/>
    <mergeCell ref="A3:A9"/>
    <mergeCell ref="E18:F18"/>
    <mergeCell ref="E3:G3"/>
    <mergeCell ref="E10:F10"/>
    <mergeCell ref="B16:D16"/>
    <mergeCell ref="B397:B420"/>
    <mergeCell ref="B421:B444"/>
    <mergeCell ref="B248:B271"/>
    <mergeCell ref="B272:B295"/>
    <mergeCell ref="B296:B319"/>
    <mergeCell ref="B320:B343"/>
    <mergeCell ref="B344:B372"/>
    <mergeCell ref="B373:B396"/>
    <mergeCell ref="B152:B175"/>
    <mergeCell ref="B176:B199"/>
    <mergeCell ref="B200:B223"/>
    <mergeCell ref="B224:B247"/>
    <mergeCell ref="B17:D17"/>
    <mergeCell ref="E4:F4"/>
    <mergeCell ref="E7:F7"/>
    <mergeCell ref="A10:A23"/>
    <mergeCell ref="B8:D8"/>
    <mergeCell ref="B10:D10"/>
    <mergeCell ref="B12:D12"/>
    <mergeCell ref="B18:D18"/>
    <mergeCell ref="B11:D11"/>
    <mergeCell ref="B19:D19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B20:D20"/>
    <mergeCell ref="B22:D22"/>
    <mergeCell ref="B85:B111"/>
    <mergeCell ref="B60:B84"/>
    <mergeCell ref="C83:C84"/>
    <mergeCell ref="C53:C56"/>
    <mergeCell ref="C47:C50"/>
    <mergeCell ref="A34:A58"/>
    <mergeCell ref="C33:D33"/>
    <mergeCell ref="C76:C80"/>
    <mergeCell ref="E23:F23"/>
    <mergeCell ref="A24:A28"/>
    <mergeCell ref="C74:C75"/>
    <mergeCell ref="C81:C82"/>
    <mergeCell ref="C68:C71"/>
    <mergeCell ref="C57:C58"/>
    <mergeCell ref="C60:C61"/>
    <mergeCell ref="C45:C46"/>
    <mergeCell ref="C51:C52"/>
    <mergeCell ref="C62:C65"/>
    <mergeCell ref="C66:C67"/>
    <mergeCell ref="C72:C73"/>
    <mergeCell ref="B34:B58"/>
    <mergeCell ref="C34:C38"/>
    <mergeCell ref="C39:C44"/>
    <mergeCell ref="B23:D23"/>
  </mergeCells>
  <hyperlinks>
    <hyperlink ref="F94" r:id="rId1" display="SAICPL/EC/2018/DPR/Lot-6/Pkg-6/7398"/>
    <hyperlink ref="F162" r:id="rId2"/>
    <hyperlink ref="E162" r:id="rId3" display="SAICPL/EC/2018/DPR/Lot-6/Pkg-6/7398"/>
    <hyperlink ref="F186" r:id="rId4"/>
    <hyperlink ref="E186" r:id="rId5" display="SAICPL/EC/2018/DPR/Lot-6/Pkg-6/7398"/>
    <hyperlink ref="F210" r:id="rId6"/>
    <hyperlink ref="E210" r:id="rId7" display="SAICPL/EC/2018/DPR/Lot-6/Pkg-6/7398"/>
    <hyperlink ref="F234" r:id="rId8"/>
    <hyperlink ref="E234" r:id="rId9" display="SAICPL/EC/2018/DPR/Lot-6/Pkg-6/7398"/>
    <hyperlink ref="F258" r:id="rId10"/>
    <hyperlink ref="E258" r:id="rId11" display="SAICPL/EC/2018/DPR/Lot-6/Pkg-6/7398"/>
    <hyperlink ref="F282" r:id="rId12"/>
    <hyperlink ref="E282" r:id="rId13" display="SAICPL/EC/2018/DPR/Lot-6/Pkg-6/7398"/>
    <hyperlink ref="F306" r:id="rId14"/>
    <hyperlink ref="E306" r:id="rId15" display="SAICPL/EC/2018/DPR/Lot-6/Pkg-6/7398"/>
    <hyperlink ref="F330" r:id="rId16"/>
    <hyperlink ref="E330" r:id="rId17" display="SAICPL/EC/2018/DPR/Lot-6/Pkg-6/7398"/>
    <hyperlink ref="F354" r:id="rId18"/>
    <hyperlink ref="E354" r:id="rId19" display="SAICPL/EC/2018/DPR/Lot-6/Pkg-6/7398"/>
    <hyperlink ref="F383" r:id="rId20"/>
    <hyperlink ref="E383" r:id="rId21" display="SAICPL/EC/2018/DPR/Lot-6/Pkg-6/7398"/>
    <hyperlink ref="F407" r:id="rId22"/>
    <hyperlink ref="E407" r:id="rId23" display="SAICPL/EC/2018/DPR/Lot-6/Pkg-6/7398"/>
    <hyperlink ref="F431" r:id="rId24"/>
    <hyperlink ref="E431" r:id="rId25" display="SAICPL/EC/2018/DPR/Lot-6/Pkg-6/7398"/>
  </hyperlinks>
  <pageMargins left="0.7" right="0.7" top="0.75" bottom="0.75" header="0.3" footer="0.3"/>
  <pageSetup paperSize="9" orientation="portrait" verticalDpi="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Data Entry sheet Sikkim</vt:lpstr>
      <vt:lpstr>Formats</vt:lpstr>
      <vt:lpstr>Report Format-1</vt:lpstr>
      <vt:lpstr>Sheet2</vt:lpstr>
      <vt:lpstr>Sheet1</vt:lpstr>
      <vt:lpstr>Data Entry sheet-another sample</vt:lpstr>
      <vt:lpstr>'Data Entry sheet Sikkim'!Print_Area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Awadhesh Kumar</dc:creator>
  <cp:lastModifiedBy>JKMUSER</cp:lastModifiedBy>
  <cp:lastPrinted>2019-11-09T04:58:23Z</cp:lastPrinted>
  <dcterms:created xsi:type="dcterms:W3CDTF">2019-07-24T10:18:28Z</dcterms:created>
  <dcterms:modified xsi:type="dcterms:W3CDTF">2019-12-07T05:43:53Z</dcterms:modified>
</cp:coreProperties>
</file>